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959" activeTab="1"/>
  </bookViews>
  <sheets>
    <sheet name="Nyitó tételek" sheetId="1" r:id="rId1"/>
    <sheet name="Fő számok" sheetId="2" r:id="rId2"/>
    <sheet name="Állami támogatás+pályázat" sheetId="3" r:id="rId3"/>
    <sheet name="Saját forrás" sheetId="4" r:id="rId4"/>
    <sheet name="Egyéb támogatás" sheetId="5" r:id="rId5"/>
    <sheet name="Versenyre befizetések" sheetId="6" r:id="rId6"/>
    <sheet name="Edzőtábor bevétel" sheetId="7" r:id="rId7"/>
    <sheet name="Szakágak keretei" sheetId="8" r:id="rId8"/>
    <sheet name="Működési költségek" sheetId="9" r:id="rId9"/>
    <sheet name="Ügyvitel és iroda" sheetId="10" r:id="rId10"/>
    <sheet name="Közös keret" sheetId="11" r:id="rId11"/>
    <sheet name="Munkabér és jár" sheetId="12" r:id="rId12"/>
    <sheet name="Tiszteletdíjak" sheetId="13" r:id="rId13"/>
    <sheet name="Nemzk.Tagdíjak" sheetId="14" r:id="rId14"/>
    <sheet name="Edzők,válogatott" sheetId="15" r:id="rId15"/>
    <sheet name="Edzőtábor" sheetId="16" r:id="rId16"/>
    <sheet name="Verseny rendezés ktg" sheetId="17" r:id="rId17"/>
    <sheet name="Versenyzés költségei" sheetId="18" r:id="rId18"/>
    <sheet name="Fejlesztés" sheetId="19" r:id="rId19"/>
    <sheet name="Duna kupa" sheetId="20" r:id="rId20"/>
  </sheets>
  <definedNames/>
  <calcPr fullCalcOnLoad="1"/>
</workbook>
</file>

<file path=xl/sharedStrings.xml><?xml version="1.0" encoding="utf-8"?>
<sst xmlns="http://schemas.openxmlformats.org/spreadsheetml/2006/main" count="497" uniqueCount="401">
  <si>
    <t>Kiadások</t>
  </si>
  <si>
    <t>Nyitó tétel</t>
  </si>
  <si>
    <t>Állami támogatás</t>
  </si>
  <si>
    <t>Egyéb támogatás</t>
  </si>
  <si>
    <t>Saját forrás</t>
  </si>
  <si>
    <t>Működési költségek</t>
  </si>
  <si>
    <t>Verseny rendezés költsége</t>
  </si>
  <si>
    <t>Munkabér és járulékai</t>
  </si>
  <si>
    <t>Ügyvitel és iroda működése</t>
  </si>
  <si>
    <t>Tagdíjak</t>
  </si>
  <si>
    <t>Edzőtábor költsége</t>
  </si>
  <si>
    <t>Fejlesztés</t>
  </si>
  <si>
    <t>Ssz.</t>
  </si>
  <si>
    <t>Pénztár nyitó</t>
  </si>
  <si>
    <t>Terep nyitó</t>
  </si>
  <si>
    <t>3D nyitó</t>
  </si>
  <si>
    <t>Történelmi nyitó</t>
  </si>
  <si>
    <t>Pálya nyitó</t>
  </si>
  <si>
    <t>Utánpótlás nyitó</t>
  </si>
  <si>
    <t>Ssz.:</t>
  </si>
  <si>
    <t>Régió nyitó</t>
  </si>
  <si>
    <t>Bankszámla nyitó</t>
  </si>
  <si>
    <t>Vadászíjász nyitó</t>
  </si>
  <si>
    <t>Futásíjász nyitó</t>
  </si>
  <si>
    <t>Pénztár nyitó könyvelés szerint</t>
  </si>
  <si>
    <t>Egyéb támogatások</t>
  </si>
  <si>
    <t>Tanfolyamok</t>
  </si>
  <si>
    <t>Versenyzői befizetések versenyekre</t>
  </si>
  <si>
    <t>Ügyvitel és iroda költségei</t>
  </si>
  <si>
    <t>bankköltségek</t>
  </si>
  <si>
    <t xml:space="preserve">posta költségek </t>
  </si>
  <si>
    <t>telefon költségek</t>
  </si>
  <si>
    <t>e-mail + net költség</t>
  </si>
  <si>
    <t xml:space="preserve">könyvelési díj </t>
  </si>
  <si>
    <t>közgyűlés</t>
  </si>
  <si>
    <t>egyéb költségek</t>
  </si>
  <si>
    <t>marketing költségek: külső,belső</t>
  </si>
  <si>
    <t>Alkalmazottak bére</t>
  </si>
  <si>
    <t>Alkalmazottak járulékai</t>
  </si>
  <si>
    <t>IFAA</t>
  </si>
  <si>
    <t>Magyar Paralimpiai Bizottság</t>
  </si>
  <si>
    <t>Versenyzői befizetések edzőtáborra</t>
  </si>
  <si>
    <t>Edzőtábor befizetések</t>
  </si>
  <si>
    <t>Adó 1%</t>
  </si>
  <si>
    <t>Pályázatok</t>
  </si>
  <si>
    <t>Tagdíj</t>
  </si>
  <si>
    <t>Versenyzési engedély</t>
  </si>
  <si>
    <t>3D</t>
  </si>
  <si>
    <t>Pálya</t>
  </si>
  <si>
    <t>Terep</t>
  </si>
  <si>
    <t>OB-k rendezési joga "20%</t>
  </si>
  <si>
    <t>egyéb bevétel</t>
  </si>
  <si>
    <t>Konferenciák</t>
  </si>
  <si>
    <t>Elnökségi, közgyűlés, hivatalos utak</t>
  </si>
  <si>
    <t>Egyebek költségtérítése</t>
  </si>
  <si>
    <t>Érmek felnőtt OB-ra</t>
  </si>
  <si>
    <t>pálya</t>
  </si>
  <si>
    <t>terep</t>
  </si>
  <si>
    <t xml:space="preserve">történelmi </t>
  </si>
  <si>
    <t>futásíjászat</t>
  </si>
  <si>
    <t>Íjász lap példányok tagoknak</t>
  </si>
  <si>
    <t>Bankett Díjazás költségek</t>
  </si>
  <si>
    <t>Íjász bankett költsége</t>
  </si>
  <si>
    <t>Alapítvány támogatása</t>
  </si>
  <si>
    <t>Főfogl</t>
  </si>
  <si>
    <t>Költségtérítés utikölts,bérlet</t>
  </si>
  <si>
    <t>Nettó bér</t>
  </si>
  <si>
    <t>Főtitkár</t>
  </si>
  <si>
    <t>Havi</t>
  </si>
  <si>
    <t>Éves</t>
  </si>
  <si>
    <t>Honlap MISZ</t>
  </si>
  <si>
    <t>Szövets.Kapit</t>
  </si>
  <si>
    <t>havi</t>
  </si>
  <si>
    <t>Felelősség biztosítás</t>
  </si>
  <si>
    <t>Szakmai csapat válogatott(pszih, psioterap, dietet)</t>
  </si>
  <si>
    <t>Történelmi</t>
  </si>
  <si>
    <t>Vadász</t>
  </si>
  <si>
    <t>Közös keret</t>
  </si>
  <si>
    <t>Edzőképzés, válogatott</t>
  </si>
  <si>
    <t>Reprezentációs költségek</t>
  </si>
  <si>
    <t>Terembérlet</t>
  </si>
  <si>
    <t>Bírók, BTE képzése</t>
  </si>
  <si>
    <t xml:space="preserve">Utánpótlás </t>
  </si>
  <si>
    <t>Irodai gépek</t>
  </si>
  <si>
    <t>Íjászat napja</t>
  </si>
  <si>
    <t>Pályázatok költsége</t>
  </si>
  <si>
    <t>Versenyzés költségei</t>
  </si>
  <si>
    <t>Tartalék</t>
  </si>
  <si>
    <t>mobil költségek</t>
  </si>
  <si>
    <t>Bevétel 20%-a</t>
  </si>
  <si>
    <t>Szponzorok</t>
  </si>
  <si>
    <t>Elnökségi ülések</t>
  </si>
  <si>
    <t>Fedett pálya díja Syma</t>
  </si>
  <si>
    <t>Össz bevétel</t>
  </si>
  <si>
    <t>Ossz működés</t>
  </si>
  <si>
    <t>MISZ pálya fenntartás</t>
  </si>
  <si>
    <t>Weblap</t>
  </si>
  <si>
    <t>IAA</t>
  </si>
  <si>
    <t>Felelősségbiztosítás</t>
  </si>
  <si>
    <t>Íjász fesztivál</t>
  </si>
  <si>
    <t>Saját versenyek bevételeinek 70%-a</t>
  </si>
  <si>
    <t>GP-k bevételei, jogdíjai</t>
  </si>
  <si>
    <t>Összes Költség</t>
  </si>
  <si>
    <t>Sportigazg feln</t>
  </si>
  <si>
    <t>AlkalmazottakKöltségtérítése</t>
  </si>
  <si>
    <t>Bevétel 70%-a</t>
  </si>
  <si>
    <t>Megbízottak</t>
  </si>
  <si>
    <t>költséghányadként elszámolva</t>
  </si>
  <si>
    <t>km</t>
  </si>
  <si>
    <t>75ft/km</t>
  </si>
  <si>
    <t>engedm30%</t>
  </si>
  <si>
    <t>engedm50%</t>
  </si>
  <si>
    <t>szponzoráció</t>
  </si>
  <si>
    <t>Kiadványra pályázat</t>
  </si>
  <si>
    <t>Sportigazgutpótl</t>
  </si>
  <si>
    <t>Nettó díj</t>
  </si>
  <si>
    <t>átlag 20%</t>
  </si>
  <si>
    <t>CEC</t>
  </si>
  <si>
    <t>nev díjak</t>
  </si>
  <si>
    <t>Hivatalos utak,kiséret</t>
  </si>
  <si>
    <t>Pályázat a 3 legtöbb engedélyt kiváltó tagnak</t>
  </si>
  <si>
    <t>nincs tervezve</t>
  </si>
  <si>
    <t>Összesen OB érmekkel!</t>
  </si>
  <si>
    <t>WA</t>
  </si>
  <si>
    <t>Sportigazgató</t>
  </si>
  <si>
    <t>Adatbázis kezelő és honlap felület</t>
  </si>
  <si>
    <t>"A" versenyzők támogatása</t>
  </si>
  <si>
    <t>Munkabér és járulékai és költségtérítések</t>
  </si>
  <si>
    <t xml:space="preserve">Menedzser 1, Kommunikáció,VB 2015, </t>
  </si>
  <si>
    <t>Munkatárs, napi ügyek, versnyengedélyek, számlázás, pénztár</t>
  </si>
  <si>
    <t>Versenyszervezési díj</t>
  </si>
  <si>
    <t>Generáli biztosító</t>
  </si>
  <si>
    <t>IAA 3D GP</t>
  </si>
  <si>
    <t>Regional Cup HUN, CEC</t>
  </si>
  <si>
    <t>Irodák</t>
  </si>
  <si>
    <t>m2</t>
  </si>
  <si>
    <t>díj</t>
  </si>
  <si>
    <t>Éves bérleti díj</t>
  </si>
  <si>
    <t>Támogatás Eleventől/ év</t>
  </si>
  <si>
    <t>Támogatott ésves díj</t>
  </si>
  <si>
    <t>Engedmény 63%</t>
  </si>
  <si>
    <t xml:space="preserve"> Bruttó Bér</t>
  </si>
  <si>
    <t>Duna kupa költségvetés</t>
  </si>
  <si>
    <t>Költségek</t>
  </si>
  <si>
    <t>Hévíz</t>
  </si>
  <si>
    <t>Résztvevők száma</t>
  </si>
  <si>
    <t>fő</t>
  </si>
  <si>
    <t>lővonalhossz minimum</t>
  </si>
  <si>
    <t>m</t>
  </si>
  <si>
    <t>Bevétel</t>
  </si>
  <si>
    <t>Fő</t>
  </si>
  <si>
    <t>db</t>
  </si>
  <si>
    <t>Ft/db/nap</t>
  </si>
  <si>
    <t>Összesen</t>
  </si>
  <si>
    <t>Megjegyz</t>
  </si>
  <si>
    <t>Bírók</t>
  </si>
  <si>
    <t>Iroda</t>
  </si>
  <si>
    <t>Pályaépítők</t>
  </si>
  <si>
    <t>Sátrak bérlése</t>
  </si>
  <si>
    <t>Vesszőfogók bérlet</t>
  </si>
  <si>
    <t>Db</t>
  </si>
  <si>
    <t>Fogyóeszközök</t>
  </si>
  <si>
    <t>Étkeztetés 1 ebéd (egytál)</t>
  </si>
  <si>
    <t>Nevezési díjak(amiket nem fizetnek be DK)</t>
  </si>
  <si>
    <t>Érmek</t>
  </si>
  <si>
    <t>Útelszámolás</t>
  </si>
  <si>
    <t>BP-hez képesti +költség</t>
  </si>
  <si>
    <t>Szállás dolgozók</t>
  </si>
  <si>
    <t>Molinók, plakátok, népszerűsítés</t>
  </si>
  <si>
    <t>2nap</t>
  </si>
  <si>
    <t>Duna kupa</t>
  </si>
  <si>
    <t>4 500 Ft átlag nevezési díj</t>
  </si>
  <si>
    <t>24 egyéni+24 a csapatonak(A8,E8,B8+csapat ugyanez</t>
  </si>
  <si>
    <t>Összesen finanszírozási hiány</t>
  </si>
  <si>
    <t>Szállítás felszerelés kamionnal</t>
  </si>
  <si>
    <t>Összes Bevétel</t>
  </si>
  <si>
    <t>Szállás fzetendő 12*2+2 fő</t>
  </si>
  <si>
    <t>oda vissza Pestre</t>
  </si>
  <si>
    <t>Bankszámla FT nyitó könyvelés szerint</t>
  </si>
  <si>
    <t>Bankszámla EUR nyitó könyvelés szerint</t>
  </si>
  <si>
    <t>IFAA kongr,+Emau kongr+ WA.</t>
  </si>
  <si>
    <t>Tárgyaló 50%</t>
  </si>
  <si>
    <t>Havi bruttó bérleti díj rezsivel iroda+ tárgyaló 50%</t>
  </si>
  <si>
    <t>Magyar Íjász Szövetség</t>
  </si>
  <si>
    <t>Hónapok</t>
  </si>
  <si>
    <t>Május</t>
  </si>
  <si>
    <t>Július</t>
  </si>
  <si>
    <t>Augusztus</t>
  </si>
  <si>
    <t>Szeptber</t>
  </si>
  <si>
    <t>Október</t>
  </si>
  <si>
    <t>Dátum</t>
  </si>
  <si>
    <t>Verseny</t>
  </si>
  <si>
    <t>Helyszín</t>
  </si>
  <si>
    <t>Versenyzők</t>
  </si>
  <si>
    <t>Személyzet</t>
  </si>
  <si>
    <t>xy. csap.kap.</t>
  </si>
  <si>
    <t>xy csap. kap.</t>
  </si>
  <si>
    <t>Utazás</t>
  </si>
  <si>
    <t>Szállás (egyéni)</t>
  </si>
  <si>
    <t>Étkezés (egyéni)</t>
  </si>
  <si>
    <t>Nevezés (egyéni)</t>
  </si>
  <si>
    <t>Szállás (hivatalos)</t>
  </si>
  <si>
    <t>Étkezés (hivatalos)</t>
  </si>
  <si>
    <t>Nevezés (hivatalos)</t>
  </si>
  <si>
    <t>Csapat létszáma</t>
  </si>
  <si>
    <t>Ifi versenyek</t>
  </si>
  <si>
    <t>egyéb</t>
  </si>
  <si>
    <t>Manager általános napi ügyek</t>
  </si>
  <si>
    <t>Cash</t>
  </si>
  <si>
    <t>Papíron</t>
  </si>
  <si>
    <t xml:space="preserve">MOB kártya díja  </t>
  </si>
  <si>
    <t>Régióknak visszaadott 80%</t>
  </si>
  <si>
    <t>3 ob</t>
  </si>
  <si>
    <t>2ob</t>
  </si>
  <si>
    <t>10.000Ft, 120 verseny</t>
  </si>
  <si>
    <t>2 OB</t>
  </si>
  <si>
    <t>3 OB</t>
  </si>
  <si>
    <t>Tanfolyamok, bírók képzése</t>
  </si>
  <si>
    <t>BTE tanfolyam</t>
  </si>
  <si>
    <t>nev díj 90%-a</t>
  </si>
  <si>
    <t>Nyitó tétel bank+ pénztár</t>
  </si>
  <si>
    <t>Versenyengedély sürgösségi díja</t>
  </si>
  <si>
    <t xml:space="preserve"> Megbízottak költségtérítése</t>
  </si>
  <si>
    <t>MOB (kártya díja)</t>
  </si>
  <si>
    <t>Engedmény 50%</t>
  </si>
  <si>
    <t xml:space="preserve">irodaszer, </t>
  </si>
  <si>
    <t>fénymásolás költs</t>
  </si>
  <si>
    <t>Programok, softwear nemzetközi versenyhez,honlap</t>
  </si>
  <si>
    <t>Vesszőfogók  javítása szponzorált Eleven</t>
  </si>
  <si>
    <t>Vesszőfogók beszerzése szponzorált Eleven</t>
  </si>
  <si>
    <t>Iskolaprogram ra csomag 20 db szponzorált Eleven</t>
  </si>
  <si>
    <t>engedm40%</t>
  </si>
  <si>
    <t>Norbi</t>
  </si>
  <si>
    <t>Juli</t>
  </si>
  <si>
    <t>Barbi</t>
  </si>
  <si>
    <t>Merci</t>
  </si>
  <si>
    <t>Építkezésre-re elhatárolt Tétel</t>
  </si>
  <si>
    <t>160 tagegyesületet feltételezve</t>
  </si>
  <si>
    <t>2018 éves támogatás 2018-as része</t>
  </si>
  <si>
    <t>*</t>
  </si>
  <si>
    <t>2 ob</t>
  </si>
  <si>
    <t>Történelmi kval</t>
  </si>
  <si>
    <t xml:space="preserve">Versenyek saját rendezésű, </t>
  </si>
  <si>
    <t>MISZ Pálya bérleti díja, áram</t>
  </si>
  <si>
    <t xml:space="preserve">közüzemi díjak bérleti díjak irodák </t>
  </si>
  <si>
    <t>raktárak</t>
  </si>
  <si>
    <t>Régiós edzők</t>
  </si>
  <si>
    <t>Válogatott edzők 5</t>
  </si>
  <si>
    <t>Edzőképzés nemzeti edzők</t>
  </si>
  <si>
    <t>Edzőképzés vezetőedző</t>
  </si>
  <si>
    <t>Költségtérítések edzőképzés</t>
  </si>
  <si>
    <t>Szállásköltség edzőképzés</t>
  </si>
  <si>
    <t>Szöv kap+ nemzeti edzők tisztd</t>
  </si>
  <si>
    <t>Szöv kap+ nemzeti edzők költségtér</t>
  </si>
  <si>
    <t>Élsportolói támog. Banda, Orosz</t>
  </si>
  <si>
    <t xml:space="preserve">Történelmi  </t>
  </si>
  <si>
    <t>Január</t>
  </si>
  <si>
    <t>február</t>
  </si>
  <si>
    <t>November</t>
  </si>
  <si>
    <t>December</t>
  </si>
  <si>
    <t xml:space="preserve">CEC 2. </t>
  </si>
  <si>
    <t xml:space="preserve">CEC 3.   </t>
  </si>
  <si>
    <t xml:space="preserve">CEC 4.   </t>
  </si>
  <si>
    <t>Legnica (POL)</t>
  </si>
  <si>
    <t>Orosz Viktor</t>
  </si>
  <si>
    <t>Költség/fő</t>
  </si>
  <si>
    <t>Összesen Euro:</t>
  </si>
  <si>
    <t>Összesen Forint:</t>
  </si>
  <si>
    <t>vesszőfogó háló , szponzorált Eleven</t>
  </si>
  <si>
    <t xml:space="preserve"> lámpák és tartó 40 vesszőfogóra</t>
  </si>
  <si>
    <t>Iskolaprogramra képzés és egyéb költségek 10 iskola</t>
  </si>
  <si>
    <t xml:space="preserve">Szakágak keretei </t>
  </si>
  <si>
    <t>Juttatások</t>
  </si>
  <si>
    <t xml:space="preserve">Munkatárs, napi ügyek, </t>
  </si>
  <si>
    <t>Adóalap</t>
  </si>
  <si>
    <t>Érv. adóalap kedvezmény:</t>
  </si>
  <si>
    <t>        SZJA 15%</t>
  </si>
  <si>
    <t>Elvi járulék kedvezmény:</t>
  </si>
  <si>
    <t>        Természetbeni eg.bizt. járulék 4%</t>
  </si>
  <si>
    <t>Elvi T.eg.bizt. járulék 4%:</t>
  </si>
  <si>
    <t>        Pénzbeni eg.bizt.járulék 3%</t>
  </si>
  <si>
    <t>Elvi P.eg.bizt járulék 3%:</t>
  </si>
  <si>
    <t>        Nyugdíjjárulék 10%</t>
  </si>
  <si>
    <t>Elvi Nyugdíjjárulék 10%:</t>
  </si>
  <si>
    <t>        Munkaerő-piaci járulék 1,5%</t>
  </si>
  <si>
    <t>Nettó jövedelem</t>
  </si>
  <si>
    <t>Nem érv. családi kedvezmény:</t>
  </si>
  <si>
    <t>Szociális hozzájárulási adó</t>
  </si>
  <si>
    <t>Szakképzési hozzájárulás 1,5%</t>
  </si>
  <si>
    <t>Összes ráfordítás</t>
  </si>
  <si>
    <t>Nettó/ráfordítás %</t>
  </si>
  <si>
    <t>Munkavállaló terhei</t>
  </si>
  <si>
    <t>Munkáltató terhei</t>
  </si>
  <si>
    <t>2 184 000</t>
  </si>
  <si>
    <t>327 600</t>
  </si>
  <si>
    <t>7 280</t>
  </si>
  <si>
    <t>87 360</t>
  </si>
  <si>
    <t>5 460</t>
  </si>
  <si>
    <t>65 520</t>
  </si>
  <si>
    <t>18 200</t>
  </si>
  <si>
    <t>218 400</t>
  </si>
  <si>
    <t>32 760</t>
  </si>
  <si>
    <t>1 452 360</t>
  </si>
  <si>
    <t>425 880</t>
  </si>
  <si>
    <t>2 642 640</t>
  </si>
  <si>
    <t>Nettó 2017</t>
  </si>
  <si>
    <t>.</t>
  </si>
  <si>
    <t>Nemzeti versenysport szöv</t>
  </si>
  <si>
    <t xml:space="preserve">Állami támogatás </t>
  </si>
  <si>
    <t>IFAA konferencia</t>
  </si>
  <si>
    <t>IAA VB</t>
  </si>
  <si>
    <t>össz. támogatás</t>
  </si>
  <si>
    <t>EMBERI ERŐFORRÁS MINISZTÉRIUM</t>
  </si>
  <si>
    <t>UP Edzők foglalkoztatása</t>
  </si>
  <si>
    <t>Világjátékok felkészülés</t>
  </si>
  <si>
    <t>Sportágfejlesztési</t>
  </si>
  <si>
    <t>befizetések 100%</t>
  </si>
  <si>
    <t>EIACH bevételek feletti rész</t>
  </si>
  <si>
    <t>IAA WHACH bevételek feletti rész</t>
  </si>
  <si>
    <t>utánpótlásedzők</t>
  </si>
  <si>
    <t>"K" versenyzők támogatása</t>
  </si>
  <si>
    <t>Február 14-19</t>
  </si>
  <si>
    <t>Február 15-18</t>
  </si>
  <si>
    <t>Május 5.</t>
  </si>
  <si>
    <t>Május 15-19</t>
  </si>
  <si>
    <t>Június 2.</t>
  </si>
  <si>
    <t>Június 26 - Július 1.</t>
  </si>
  <si>
    <t>Július 7.</t>
  </si>
  <si>
    <t>Július 17-22</t>
  </si>
  <si>
    <t>Július 30 - Augusztus 3.</t>
  </si>
  <si>
    <t>Augusztus 26 - Szeptember 1.</t>
  </si>
  <si>
    <t>szeptember 4-9.</t>
  </si>
  <si>
    <t>szeptember 22-23.</t>
  </si>
  <si>
    <t>WA Terem Világbajnokság</t>
  </si>
  <si>
    <t xml:space="preserve">IFAA Terem EB  </t>
  </si>
  <si>
    <t xml:space="preserve">CEC 1. </t>
  </si>
  <si>
    <t>Junior Európa Kupa</t>
  </si>
  <si>
    <r>
      <t xml:space="preserve">Junior Európa Bajnokság,              </t>
    </r>
    <r>
      <rPr>
        <b/>
        <sz val="12"/>
        <rFont val="Centaur"/>
        <family val="1"/>
      </rPr>
      <t xml:space="preserve"> YOG kval.</t>
    </r>
  </si>
  <si>
    <t>WA Íjász Világkupa 4.</t>
  </si>
  <si>
    <t>Europa GP</t>
  </si>
  <si>
    <t>Európa Bajnokság</t>
  </si>
  <si>
    <t>Terep Világbajnokság</t>
  </si>
  <si>
    <t>Yankton (USA)</t>
  </si>
  <si>
    <t>Budapest</t>
  </si>
  <si>
    <t>Szlovákia</t>
  </si>
  <si>
    <t>Roverelo (ITA)</t>
  </si>
  <si>
    <t>Szlovénia</t>
  </si>
  <si>
    <t>Patras (GRE)</t>
  </si>
  <si>
    <t>Szerbia</t>
  </si>
  <si>
    <t xml:space="preserve">Berlin </t>
  </si>
  <si>
    <t>Szófia (BUL)</t>
  </si>
  <si>
    <t>Cortina (ITA)</t>
  </si>
  <si>
    <t>Ausztria</t>
  </si>
  <si>
    <r>
      <t xml:space="preserve">Banda Árpád ?, Orosz Viktor ?, Szűts Mátyás, </t>
    </r>
    <r>
      <rPr>
        <sz val="10"/>
        <color indexed="8"/>
        <rFont val="Centaur"/>
        <family val="1"/>
      </rPr>
      <t>Zoltán Levente,  Péller József</t>
    </r>
  </si>
  <si>
    <r>
      <t>Szűts Mátyás,</t>
    </r>
    <r>
      <rPr>
        <sz val="10"/>
        <color indexed="8"/>
        <rFont val="Centaur"/>
        <family val="1"/>
      </rPr>
      <t xml:space="preserve"> Bencsik Márk ??</t>
    </r>
  </si>
  <si>
    <r>
      <rPr>
        <b/>
        <sz val="10"/>
        <rFont val="Centaur"/>
        <family val="1"/>
      </rPr>
      <t>Banda Árpád ?, Orosz Viktor ?                 Szűts Mátyás, Balogh Mátyás</t>
    </r>
    <r>
      <rPr>
        <sz val="10"/>
        <rFont val="Centaur"/>
        <family val="1"/>
      </rPr>
      <t>,                            Zoltán Levente,      Péller József, Bencsik Márk (!)</t>
    </r>
  </si>
  <si>
    <r>
      <t>Orosz Viktor, Balogh Mátyás, Szűts Mátyás,</t>
    </r>
    <r>
      <rPr>
        <sz val="10"/>
        <color indexed="8"/>
        <rFont val="Centaur"/>
        <family val="1"/>
      </rPr>
      <t xml:space="preserve"> Bencsik Márk ??</t>
    </r>
  </si>
  <si>
    <r>
      <rPr>
        <b/>
        <sz val="10"/>
        <rFont val="Centaur"/>
        <family val="1"/>
      </rPr>
      <t>Banda Árpád ?, Orosz Viktor ?                 Szűts Mátyás, Balogh Mátyás</t>
    </r>
    <r>
      <rPr>
        <sz val="10"/>
        <rFont val="Centaur"/>
        <family val="1"/>
      </rPr>
      <t>,                            Zoltán Levente,      Péller József</t>
    </r>
  </si>
  <si>
    <t>Banda Árpád,       Orosz Viktor</t>
  </si>
  <si>
    <r>
      <t>Kakas István, Buzás Károly,</t>
    </r>
    <r>
      <rPr>
        <b/>
        <sz val="10"/>
        <color indexed="8"/>
        <rFont val="Centaur"/>
        <family val="1"/>
      </rPr>
      <t xml:space="preserve"> Molnár József</t>
    </r>
  </si>
  <si>
    <t xml:space="preserve">Orosz Viktor     </t>
  </si>
  <si>
    <t xml:space="preserve">Banda Árpád , Orosz Viktor </t>
  </si>
  <si>
    <t>Pálya EB</t>
  </si>
  <si>
    <t>Banda Árpád, , Balogh Mátyás, Szűts Mátyás</t>
  </si>
  <si>
    <t xml:space="preserve">Felkészülő versenyek </t>
  </si>
  <si>
    <t>EIAC</t>
  </si>
  <si>
    <t>Terep VB</t>
  </si>
  <si>
    <t>3D VB</t>
  </si>
  <si>
    <t xml:space="preserve">Pálya </t>
  </si>
  <si>
    <t>Eredményességi</t>
  </si>
  <si>
    <t>Edit</t>
  </si>
  <si>
    <t>nettó 2018</t>
  </si>
  <si>
    <t>Nettó össz 2019</t>
  </si>
  <si>
    <t>Navek</t>
  </si>
  <si>
    <t xml:space="preserve"> külföldi CEC</t>
  </si>
  <si>
    <t>Szabadon felhasználható 800e-obérmek</t>
  </si>
  <si>
    <t>államiból 70%</t>
  </si>
  <si>
    <t>300e verssp 1m saját</t>
  </si>
  <si>
    <t xml:space="preserve">Össz.1800 </t>
  </si>
  <si>
    <t>1800 versenyengedély</t>
  </si>
  <si>
    <t>Paralimpiai bizotság</t>
  </si>
  <si>
    <t>Pálya Para</t>
  </si>
  <si>
    <t>Cashflow</t>
  </si>
  <si>
    <t>Éves Cashflow</t>
  </si>
  <si>
    <t>Záró Egyenleg</t>
  </si>
  <si>
    <t>Működési költs. és olimp. felkész.</t>
  </si>
  <si>
    <t>Ügyvezető ig</t>
  </si>
  <si>
    <t>Zsolti</t>
  </si>
  <si>
    <t>nettó bér</t>
  </si>
  <si>
    <t>Járulékok</t>
  </si>
  <si>
    <t>Összköltség</t>
  </si>
  <si>
    <t>Szponzorált</t>
  </si>
  <si>
    <t>Éves költség</t>
  </si>
  <si>
    <t>Eleven szponzoráció</t>
  </si>
  <si>
    <t>Eleven munkaerőben</t>
  </si>
  <si>
    <t>Támogatott tiszteletdíj</t>
  </si>
  <si>
    <t>Eleven KP-ban</t>
  </si>
  <si>
    <t>államiból 70%-500000</t>
  </si>
  <si>
    <t>200e verssp 400saj</t>
  </si>
  <si>
    <t>Bevételek+nyitó pénztár</t>
  </si>
  <si>
    <t>Magyar Íjász Szövetség 2019 évi költségvetése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</si>
</sst>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&quot;Ft&quot;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  <numFmt numFmtId="177" formatCode="0.0"/>
    <numFmt numFmtId="178" formatCode="0.00000"/>
    <numFmt numFmtId="179" formatCode="0.000000"/>
    <numFmt numFmtId="180" formatCode="0.0000"/>
    <numFmt numFmtId="181" formatCode="0.000"/>
    <numFmt numFmtId="182" formatCode="0.0%"/>
    <numFmt numFmtId="183" formatCode="[$-40E]mmmm\ d\.;@"/>
    <numFmt numFmtId="184" formatCode="m\.\ d\.;@"/>
    <numFmt numFmtId="185" formatCode="yyyy/\ m/\ d\.;@"/>
    <numFmt numFmtId="186" formatCode="0.00000000"/>
    <numFmt numFmtId="187" formatCode="0.0000000"/>
    <numFmt numFmtId="188" formatCode="#,##0.0"/>
    <numFmt numFmtId="189" formatCode="#,##0.000"/>
    <numFmt numFmtId="190" formatCode="_-* #,##0\ [$Ft-40E]_-;\-* #,##0\ [$Ft-40E]_-;_-* &quot;-&quot;??\ [$Ft-40E]_-;_-@_-"/>
    <numFmt numFmtId="191" formatCode="_-* #,##0.0\ [$Ft-40E]_-;\-* #,##0.0\ [$Ft-40E]_-;_-* &quot;-&quot;??\ [$Ft-40E]_-;_-@_-"/>
    <numFmt numFmtId="192" formatCode="_-* #,##0.00\ [$Ft-40E]_-;\-* #,##0.00\ [$Ft-40E]_-;_-* &quot;-&quot;??\ [$Ft-40E]_-;_-@_-"/>
    <numFmt numFmtId="193" formatCode="_-* #,##0.000\ [$Ft-40E]_-;\-* #,##0.000\ [$Ft-40E]_-;_-* &quot;-&quot;??\ [$Ft-40E]_-;_-@_-"/>
    <numFmt numFmtId="194" formatCode="_-* #,##0.0000\ [$Ft-40E]_-;\-* #,##0.0000\ [$Ft-40E]_-;_-* &quot;-&quot;??\ [$Ft-40E]_-;_-@_-"/>
    <numFmt numFmtId="195" formatCode="_-* #,##0.00000\ [$Ft-40E]_-;\-* #,##0.00000\ [$Ft-40E]_-;_-* &quot;-&quot;??\ [$Ft-40E]_-;_-@_-"/>
    <numFmt numFmtId="196" formatCode="_-* #,##0.000000\ [$Ft-40E]_-;\-* #,##0.000000\ [$Ft-40E]_-;_-* &quot;-&quot;??\ [$Ft-40E]_-;_-@_-"/>
    <numFmt numFmtId="197" formatCode="_-* #,##0.0000000\ [$Ft-40E]_-;\-* #,##0.0000000\ [$Ft-40E]_-;_-* &quot;-&quot;??\ [$Ft-40E]_-;_-@_-"/>
    <numFmt numFmtId="198" formatCode="_-* #,##0.00000000\ [$Ft-40E]_-;\-* #,##0.00000000\ [$Ft-40E]_-;_-* &quot;-&quot;??\ [$Ft-40E]_-;_-@_-"/>
    <numFmt numFmtId="199" formatCode="_-* #,##0.000000000\ [$Ft-40E]_-;\-* #,##0.000000000\ [$Ft-40E]_-;_-* &quot;-&quot;??\ [$Ft-40E]_-;_-@_-"/>
    <numFmt numFmtId="200" formatCode="[$-F800]dddd\,\ mmmm\ dd\,\ yyyy"/>
    <numFmt numFmtId="201" formatCode="_-* #,##0\ [$€-1]_-;\-* #,##0\ [$€-1]_-;_-* &quot;-&quot;??\ [$€-1]_-;_-@_-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¥€-2]\ #\ ##,000_);[Red]\([$€-2]\ #\ ##,000\)"/>
    <numFmt numFmtId="206" formatCode="#,##0\ [$HUF]"/>
  </numFmts>
  <fonts count="147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8"/>
      <name val="Times New Roman CE"/>
      <family val="0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E"/>
      <family val="1"/>
    </font>
    <font>
      <sz val="12"/>
      <name val="Arial"/>
      <family val="2"/>
    </font>
    <font>
      <sz val="14"/>
      <name val="Times New Roman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 CE"/>
      <family val="1"/>
    </font>
    <font>
      <sz val="8"/>
      <name val="Centaur"/>
      <family val="1"/>
    </font>
    <font>
      <sz val="10"/>
      <name val="Centaur"/>
      <family val="1"/>
    </font>
    <font>
      <b/>
      <sz val="10"/>
      <name val="Centaur"/>
      <family val="1"/>
    </font>
    <font>
      <b/>
      <sz val="12"/>
      <name val="Centaur"/>
      <family val="1"/>
    </font>
    <font>
      <sz val="11"/>
      <name val="Centaur"/>
      <family val="1"/>
    </font>
    <font>
      <b/>
      <sz val="11"/>
      <name val="Centaur"/>
      <family val="1"/>
    </font>
    <font>
      <sz val="10"/>
      <color indexed="8"/>
      <name val="Centaur"/>
      <family val="1"/>
    </font>
    <font>
      <b/>
      <sz val="10"/>
      <color indexed="8"/>
      <name val="Centa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onstantia"/>
      <family val="1"/>
    </font>
    <font>
      <b/>
      <sz val="14"/>
      <color indexed="8"/>
      <name val="Constantia"/>
      <family val="1"/>
    </font>
    <font>
      <sz val="12"/>
      <color indexed="10"/>
      <name val="Arial"/>
      <family val="2"/>
    </font>
    <font>
      <sz val="16"/>
      <color indexed="8"/>
      <name val="Times New Roman CE"/>
      <family val="1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onstantia"/>
      <family val="1"/>
    </font>
    <font>
      <b/>
      <sz val="10"/>
      <color indexed="8"/>
      <name val="Constantia"/>
      <family val="1"/>
    </font>
    <font>
      <sz val="8"/>
      <color indexed="8"/>
      <name val="Constantia"/>
      <family val="1"/>
    </font>
    <font>
      <sz val="8"/>
      <color indexed="8"/>
      <name val="Centaur"/>
      <family val="1"/>
    </font>
    <font>
      <sz val="11"/>
      <color indexed="8"/>
      <name val="Centaur"/>
      <family val="1"/>
    </font>
    <font>
      <sz val="12"/>
      <color indexed="8"/>
      <name val="Arial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4"/>
      <color indexed="8"/>
      <name val="Centaur"/>
      <family val="1"/>
    </font>
    <font>
      <sz val="14"/>
      <color indexed="8"/>
      <name val="Centaur"/>
      <family val="1"/>
    </font>
    <font>
      <sz val="10"/>
      <color indexed="55"/>
      <name val="Centaur"/>
      <family val="1"/>
    </font>
    <font>
      <b/>
      <sz val="10"/>
      <color indexed="55"/>
      <name val="Centaur"/>
      <family val="1"/>
    </font>
    <font>
      <sz val="8"/>
      <color indexed="10"/>
      <name val="Centaur"/>
      <family val="1"/>
    </font>
    <font>
      <b/>
      <sz val="12"/>
      <color indexed="8"/>
      <name val="Arial"/>
      <family val="2"/>
    </font>
    <font>
      <b/>
      <sz val="12"/>
      <color indexed="10"/>
      <name val="Centaur"/>
      <family val="1"/>
    </font>
    <font>
      <b/>
      <sz val="14"/>
      <color indexed="10"/>
      <name val="Centaur"/>
      <family val="1"/>
    </font>
    <font>
      <b/>
      <sz val="10"/>
      <color indexed="10"/>
      <name val="Centaur"/>
      <family val="1"/>
    </font>
    <font>
      <sz val="10"/>
      <color indexed="10"/>
      <name val="Centaur"/>
      <family val="1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entaur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000000"/>
      <name val="Constantia"/>
      <family val="1"/>
    </font>
    <font>
      <b/>
      <sz val="14"/>
      <color rgb="FF000000"/>
      <name val="Constantia"/>
      <family val="1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theme="1"/>
      <name val="Times New Roman CE"/>
      <family val="1"/>
    </font>
    <font>
      <sz val="16"/>
      <color theme="1"/>
      <name val="Arial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8"/>
      <color rgb="FFFF0000"/>
      <name val="Constantia"/>
      <family val="1"/>
    </font>
    <font>
      <b/>
      <sz val="10"/>
      <color rgb="FF000000"/>
      <name val="Constantia"/>
      <family val="1"/>
    </font>
    <font>
      <sz val="8"/>
      <color rgb="FF000000"/>
      <name val="Constantia"/>
      <family val="1"/>
    </font>
    <font>
      <sz val="8"/>
      <color rgb="FF000000"/>
      <name val="Centaur"/>
      <family val="1"/>
    </font>
    <font>
      <sz val="11"/>
      <color rgb="FF000000"/>
      <name val="Centaur"/>
      <family val="1"/>
    </font>
    <font>
      <b/>
      <sz val="10"/>
      <color rgb="FF000000"/>
      <name val="Centaur"/>
      <family val="1"/>
    </font>
    <font>
      <sz val="10"/>
      <color rgb="FF000000"/>
      <name val="Centaur"/>
      <family val="1"/>
    </font>
    <font>
      <sz val="12"/>
      <color theme="1"/>
      <name val="Arial"/>
      <family val="2"/>
    </font>
    <font>
      <b/>
      <sz val="10"/>
      <color rgb="FF717171"/>
      <name val="Trebuchet MS"/>
      <family val="2"/>
    </font>
    <font>
      <sz val="10"/>
      <color rgb="FF717171"/>
      <name val="Trebuchet MS"/>
      <family val="2"/>
    </font>
    <font>
      <b/>
      <sz val="12"/>
      <color rgb="FF000000"/>
      <name val="Centaur"/>
      <family val="1"/>
    </font>
    <font>
      <sz val="12"/>
      <color rgb="FF000000"/>
      <name val="Centaur"/>
      <family val="1"/>
    </font>
    <font>
      <b/>
      <sz val="14"/>
      <color rgb="FF000000"/>
      <name val="Centaur"/>
      <family val="1"/>
    </font>
    <font>
      <sz val="14"/>
      <color rgb="FF000000"/>
      <name val="Centaur"/>
      <family val="1"/>
    </font>
    <font>
      <sz val="10"/>
      <color theme="0" tint="-0.3499799966812134"/>
      <name val="Centaur"/>
      <family val="1"/>
    </font>
    <font>
      <b/>
      <sz val="10"/>
      <color theme="0" tint="-0.3499799966812134"/>
      <name val="Centaur"/>
      <family val="1"/>
    </font>
    <font>
      <sz val="8"/>
      <color rgb="FFFF0000"/>
      <name val="Centaur"/>
      <family val="1"/>
    </font>
    <font>
      <b/>
      <sz val="12"/>
      <color theme="1"/>
      <name val="Arial"/>
      <family val="2"/>
    </font>
    <font>
      <b/>
      <sz val="12"/>
      <color rgb="FFFF0000"/>
      <name val="Centaur"/>
      <family val="1"/>
    </font>
    <font>
      <b/>
      <sz val="14"/>
      <color rgb="FFFF0000"/>
      <name val="Centaur"/>
      <family val="1"/>
    </font>
    <font>
      <b/>
      <sz val="10"/>
      <color rgb="FFFF0000"/>
      <name val="Centaur"/>
      <family val="1"/>
    </font>
    <font>
      <sz val="10"/>
      <color rgb="FFFF0000"/>
      <name val="Centaur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entaur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C1C1C1"/>
      </bottom>
    </border>
    <border>
      <left style="medium">
        <color rgb="FFC1C1C1"/>
      </left>
      <right style="medium">
        <color rgb="FFC1C1C1"/>
      </right>
      <top style="medium">
        <color rgb="FF525252"/>
      </top>
      <bottom style="medium">
        <color rgb="FFC1C1C1"/>
      </bottom>
    </border>
    <border>
      <left style="medium">
        <color rgb="FF525252"/>
      </left>
      <right style="medium">
        <color rgb="FFC1C1C1"/>
      </right>
      <top style="medium">
        <color rgb="FFC1C1C1"/>
      </top>
      <bottom style="medium">
        <color rgb="FFC1C1C1"/>
      </bottom>
    </border>
    <border>
      <left style="medium">
        <color rgb="FFC1C1C1"/>
      </left>
      <right style="medium">
        <color rgb="FF525252"/>
      </right>
      <top style="medium">
        <color rgb="FFC1C1C1"/>
      </top>
      <bottom style="medium">
        <color rgb="FFC1C1C1"/>
      </bottom>
    </border>
    <border>
      <left style="medium">
        <color rgb="FF525252"/>
      </left>
      <right style="medium">
        <color rgb="FFC1C1C1"/>
      </right>
      <top style="medium">
        <color rgb="FFC1C1C1"/>
      </top>
      <bottom style="medium">
        <color rgb="FF525252"/>
      </bottom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525252"/>
      </bottom>
    </border>
    <border>
      <left>
        <color indexed="63"/>
      </left>
      <right>
        <color indexed="63"/>
      </right>
      <top>
        <color indexed="63"/>
      </top>
      <bottom style="medium">
        <color rgb="FF525252"/>
      </bottom>
    </border>
    <border>
      <left>
        <color indexed="63"/>
      </left>
      <right style="medium">
        <color rgb="FF525252"/>
      </right>
      <top>
        <color indexed="63"/>
      </top>
      <bottom style="medium">
        <color rgb="FF525252"/>
      </bottom>
    </border>
    <border>
      <left style="medium">
        <color rgb="FF525252"/>
      </left>
      <right style="medium">
        <color rgb="FFC1C1C1"/>
      </right>
      <top style="medium">
        <color rgb="FF525252"/>
      </top>
      <bottom style="medium">
        <color rgb="FFC1C1C1"/>
      </bottom>
    </border>
    <border>
      <left>
        <color indexed="63"/>
      </left>
      <right style="medium">
        <color rgb="FF525252"/>
      </right>
      <top style="medium">
        <color rgb="FF525252"/>
      </top>
      <bottom>
        <color indexed="63"/>
      </bottom>
    </border>
    <border>
      <left style="medium"/>
      <right style="thick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0" fillId="22" borderId="7" applyNumberFormat="0" applyFont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9" fillId="29" borderId="0" applyNumberFormat="0" applyBorder="0" applyAlignment="0" applyProtection="0"/>
    <xf numFmtId="0" fontId="100" fillId="30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0" borderId="0">
      <alignment/>
      <protection/>
    </xf>
    <xf numFmtId="0" fontId="103" fillId="0" borderId="0">
      <alignment/>
      <protection/>
    </xf>
    <xf numFmtId="0" fontId="87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3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30" borderId="1" applyNumberFormat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6" fontId="0" fillId="0" borderId="18" xfId="61" applyNumberFormat="1" applyFont="1" applyBorder="1" applyAlignment="1">
      <alignment/>
    </xf>
    <xf numFmtId="176" fontId="0" fillId="0" borderId="19" xfId="61" applyNumberFormat="1" applyFont="1" applyBorder="1" applyAlignment="1">
      <alignment/>
    </xf>
    <xf numFmtId="176" fontId="0" fillId="0" borderId="20" xfId="61" applyNumberFormat="1" applyFont="1" applyBorder="1" applyAlignment="1">
      <alignment/>
    </xf>
    <xf numFmtId="176" fontId="0" fillId="0" borderId="0" xfId="61" applyNumberFormat="1" applyFont="1" applyAlignment="1">
      <alignment/>
    </xf>
    <xf numFmtId="176" fontId="1" fillId="0" borderId="21" xfId="61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176" fontId="4" fillId="0" borderId="18" xfId="61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176" fontId="4" fillId="0" borderId="19" xfId="61" applyNumberFormat="1" applyFont="1" applyBorder="1" applyAlignment="1">
      <alignment/>
    </xf>
    <xf numFmtId="0" fontId="7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6" fontId="4" fillId="0" borderId="20" xfId="61" applyNumberFormat="1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176" fontId="5" fillId="33" borderId="21" xfId="61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9" fontId="0" fillId="0" borderId="0" xfId="68" applyFont="1" applyAlignment="1">
      <alignment/>
    </xf>
    <xf numFmtId="3" fontId="0" fillId="0" borderId="0" xfId="0" applyNumberFormat="1" applyAlignment="1">
      <alignment wrapText="1"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5" fillId="33" borderId="21" xfId="61" applyNumberFormat="1" applyFont="1" applyFill="1" applyBorder="1" applyAlignment="1">
      <alignment/>
    </xf>
    <xf numFmtId="3" fontId="4" fillId="0" borderId="18" xfId="61" applyNumberFormat="1" applyFont="1" applyBorder="1" applyAlignment="1">
      <alignment/>
    </xf>
    <xf numFmtId="3" fontId="4" fillId="0" borderId="19" xfId="61" applyNumberFormat="1" applyFont="1" applyBorder="1" applyAlignment="1">
      <alignment/>
    </xf>
    <xf numFmtId="3" fontId="4" fillId="0" borderId="20" xfId="61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26" xfId="0" applyFont="1" applyFill="1" applyBorder="1" applyAlignment="1">
      <alignment/>
    </xf>
    <xf numFmtId="3" fontId="5" fillId="33" borderId="27" xfId="61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28" xfId="0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5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8" xfId="0" applyNumberForma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0" borderId="23" xfId="0" applyFont="1" applyBorder="1" applyAlignment="1">
      <alignment/>
    </xf>
    <xf numFmtId="3" fontId="10" fillId="0" borderId="3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9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3" fontId="10" fillId="0" borderId="20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76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33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2" fillId="33" borderId="21" xfId="61" applyNumberFormat="1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7" fillId="0" borderId="10" xfId="0" applyFont="1" applyBorder="1" applyAlignment="1">
      <alignment/>
    </xf>
    <xf numFmtId="3" fontId="11" fillId="0" borderId="18" xfId="61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1" fillId="0" borderId="11" xfId="0" applyFont="1" applyBorder="1" applyAlignment="1">
      <alignment horizontal="center"/>
    </xf>
    <xf numFmtId="3" fontId="11" fillId="0" borderId="19" xfId="61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3" fontId="11" fillId="0" borderId="20" xfId="61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61" applyNumberFormat="1" applyFont="1" applyAlignment="1">
      <alignment/>
    </xf>
    <xf numFmtId="3" fontId="11" fillId="0" borderId="34" xfId="61" applyNumberFormat="1" applyFont="1" applyBorder="1" applyAlignment="1">
      <alignment/>
    </xf>
    <xf numFmtId="1" fontId="0" fillId="0" borderId="0" xfId="0" applyNumberFormat="1" applyAlignment="1">
      <alignment/>
    </xf>
    <xf numFmtId="3" fontId="11" fillId="0" borderId="0" xfId="40" applyNumberFormat="1" applyFont="1" applyAlignment="1">
      <alignment/>
    </xf>
    <xf numFmtId="3" fontId="1" fillId="0" borderId="0" xfId="0" applyNumberFormat="1" applyFont="1" applyAlignment="1">
      <alignment/>
    </xf>
    <xf numFmtId="0" fontId="5" fillId="33" borderId="35" xfId="0" applyFont="1" applyFill="1" applyBorder="1" applyAlignment="1">
      <alignment horizontal="center"/>
    </xf>
    <xf numFmtId="176" fontId="5" fillId="33" borderId="27" xfId="61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/>
    </xf>
    <xf numFmtId="176" fontId="5" fillId="33" borderId="19" xfId="61" applyNumberFormat="1" applyFont="1" applyFill="1" applyBorder="1" applyAlignment="1">
      <alignment/>
    </xf>
    <xf numFmtId="176" fontId="5" fillId="33" borderId="24" xfId="61" applyNumberFormat="1" applyFont="1" applyFill="1" applyBorder="1" applyAlignment="1">
      <alignment/>
    </xf>
    <xf numFmtId="176" fontId="5" fillId="34" borderId="20" xfId="61" applyNumberFormat="1" applyFont="1" applyFill="1" applyBorder="1" applyAlignment="1">
      <alignment/>
    </xf>
    <xf numFmtId="176" fontId="4" fillId="0" borderId="36" xfId="61" applyNumberFormat="1" applyFont="1" applyBorder="1" applyAlignment="1">
      <alignment/>
    </xf>
    <xf numFmtId="176" fontId="4" fillId="0" borderId="37" xfId="61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9" fontId="4" fillId="0" borderId="15" xfId="68" applyFont="1" applyBorder="1" applyAlignment="1">
      <alignment/>
    </xf>
    <xf numFmtId="3" fontId="1" fillId="0" borderId="0" xfId="0" applyNumberFormat="1" applyFont="1" applyAlignment="1">
      <alignment wrapText="1"/>
    </xf>
    <xf numFmtId="176" fontId="4" fillId="0" borderId="0" xfId="0" applyNumberFormat="1" applyFont="1" applyAlignment="1">
      <alignment/>
    </xf>
    <xf numFmtId="0" fontId="16" fillId="35" borderId="10" xfId="0" applyFont="1" applyFill="1" applyBorder="1" applyAlignment="1">
      <alignment/>
    </xf>
    <xf numFmtId="3" fontId="4" fillId="35" borderId="18" xfId="61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61" applyNumberFormat="1" applyFont="1" applyAlignment="1">
      <alignment/>
    </xf>
    <xf numFmtId="3" fontId="20" fillId="35" borderId="18" xfId="61" applyNumberFormat="1" applyFont="1" applyFill="1" applyBorder="1" applyAlignment="1">
      <alignment/>
    </xf>
    <xf numFmtId="3" fontId="20" fillId="35" borderId="10" xfId="61" applyNumberFormat="1" applyFont="1" applyFill="1" applyBorder="1" applyAlignment="1">
      <alignment/>
    </xf>
    <xf numFmtId="182" fontId="0" fillId="0" borderId="0" xfId="68" applyNumberFormat="1" applyFont="1" applyAlignment="1">
      <alignment/>
    </xf>
    <xf numFmtId="0" fontId="108" fillId="0" borderId="0" xfId="0" applyFont="1" applyAlignment="1">
      <alignment/>
    </xf>
    <xf numFmtId="1" fontId="108" fillId="0" borderId="0" xfId="0" applyNumberFormat="1" applyFont="1" applyAlignment="1">
      <alignment/>
    </xf>
    <xf numFmtId="0" fontId="108" fillId="0" borderId="28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Alignment="1">
      <alignment horizont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42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3" fontId="0" fillId="0" borderId="49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2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9" fontId="0" fillId="0" borderId="0" xfId="68" applyFont="1" applyAlignment="1">
      <alignment/>
    </xf>
    <xf numFmtId="0" fontId="109" fillId="0" borderId="0" xfId="0" applyFont="1" applyAlignment="1">
      <alignment/>
    </xf>
    <xf numFmtId="3" fontId="108" fillId="0" borderId="0" xfId="0" applyNumberFormat="1" applyFont="1" applyAlignment="1">
      <alignment/>
    </xf>
    <xf numFmtId="3" fontId="110" fillId="0" borderId="0" xfId="0" applyNumberFormat="1" applyFont="1" applyAlignment="1">
      <alignment horizontal="center"/>
    </xf>
    <xf numFmtId="3" fontId="111" fillId="0" borderId="0" xfId="0" applyNumberFormat="1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3" fontId="14" fillId="0" borderId="18" xfId="61" applyNumberFormat="1" applyFont="1" applyBorder="1" applyAlignment="1">
      <alignment/>
    </xf>
    <xf numFmtId="0" fontId="22" fillId="33" borderId="17" xfId="0" applyFont="1" applyFill="1" applyBorder="1" applyAlignment="1">
      <alignment horizontal="center"/>
    </xf>
    <xf numFmtId="0" fontId="23" fillId="33" borderId="16" xfId="0" applyFont="1" applyFill="1" applyBorder="1" applyAlignment="1">
      <alignment/>
    </xf>
    <xf numFmtId="176" fontId="22" fillId="33" borderId="21" xfId="61" applyNumberFormat="1" applyFont="1" applyFill="1" applyBorder="1" applyAlignment="1">
      <alignment/>
    </xf>
    <xf numFmtId="176" fontId="14" fillId="0" borderId="18" xfId="61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4" fillId="0" borderId="19" xfId="61" applyNumberFormat="1" applyFont="1" applyBorder="1" applyAlignment="1">
      <alignment/>
    </xf>
    <xf numFmtId="0" fontId="10" fillId="0" borderId="2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176" fontId="14" fillId="0" borderId="20" xfId="61" applyNumberFormat="1" applyFont="1" applyBorder="1" applyAlignment="1">
      <alignment/>
    </xf>
    <xf numFmtId="0" fontId="14" fillId="0" borderId="0" xfId="0" applyFont="1" applyAlignment="1">
      <alignment/>
    </xf>
    <xf numFmtId="0" fontId="5" fillId="33" borderId="54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176" fontId="5" fillId="33" borderId="55" xfId="61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176" fontId="0" fillId="0" borderId="19" xfId="61" applyNumberFormat="1" applyFont="1" applyBorder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3" fontId="0" fillId="36" borderId="0" xfId="0" applyNumberFormat="1" applyFill="1" applyAlignment="1">
      <alignment/>
    </xf>
    <xf numFmtId="2" fontId="0" fillId="0" borderId="0" xfId="0" applyNumberFormat="1" applyAlignment="1">
      <alignment/>
    </xf>
    <xf numFmtId="0" fontId="114" fillId="0" borderId="10" xfId="0" applyFont="1" applyBorder="1" applyAlignment="1">
      <alignment/>
    </xf>
    <xf numFmtId="176" fontId="115" fillId="0" borderId="18" xfId="61" applyNumberFormat="1" applyFont="1" applyBorder="1" applyAlignment="1">
      <alignment/>
    </xf>
    <xf numFmtId="176" fontId="115" fillId="0" borderId="19" xfId="61" applyNumberFormat="1" applyFont="1" applyBorder="1" applyAlignment="1">
      <alignment/>
    </xf>
    <xf numFmtId="0" fontId="114" fillId="0" borderId="10" xfId="0" applyFont="1" applyBorder="1" applyAlignment="1">
      <alignment/>
    </xf>
    <xf numFmtId="0" fontId="115" fillId="0" borderId="11" xfId="0" applyFont="1" applyBorder="1" applyAlignment="1">
      <alignment horizontal="center"/>
    </xf>
    <xf numFmtId="0" fontId="115" fillId="0" borderId="0" xfId="0" applyFont="1" applyAlignment="1">
      <alignment/>
    </xf>
    <xf numFmtId="0" fontId="115" fillId="0" borderId="14" xfId="0" applyFont="1" applyBorder="1" applyAlignment="1">
      <alignment horizontal="center"/>
    </xf>
    <xf numFmtId="10" fontId="0" fillId="0" borderId="0" xfId="68" applyNumberFormat="1" applyFont="1" applyAlignment="1">
      <alignment/>
    </xf>
    <xf numFmtId="10" fontId="0" fillId="0" borderId="28" xfId="68" applyNumberFormat="1" applyFont="1" applyBorder="1" applyAlignment="1">
      <alignment/>
    </xf>
    <xf numFmtId="0" fontId="7" fillId="0" borderId="10" xfId="0" applyFont="1" applyBorder="1" applyAlignment="1">
      <alignment wrapText="1"/>
    </xf>
    <xf numFmtId="3" fontId="14" fillId="0" borderId="55" xfId="61" applyNumberFormat="1" applyFont="1" applyBorder="1" applyAlignment="1">
      <alignment/>
    </xf>
    <xf numFmtId="3" fontId="116" fillId="0" borderId="0" xfId="0" applyNumberFormat="1" applyFont="1" applyAlignment="1">
      <alignment/>
    </xf>
    <xf numFmtId="184" fontId="116" fillId="0" borderId="0" xfId="0" applyNumberFormat="1" applyFont="1" applyAlignment="1">
      <alignment/>
    </xf>
    <xf numFmtId="185" fontId="117" fillId="0" borderId="0" xfId="0" applyNumberFormat="1" applyFont="1" applyAlignment="1">
      <alignment/>
    </xf>
    <xf numFmtId="3" fontId="118" fillId="0" borderId="0" xfId="43" applyNumberFormat="1" applyFont="1" applyAlignment="1">
      <alignment horizontal="center" vertical="center" wrapText="1"/>
    </xf>
    <xf numFmtId="3" fontId="119" fillId="0" borderId="0" xfId="0" applyNumberFormat="1" applyFont="1" applyAlignment="1">
      <alignment horizontal="center" vertical="center" wrapText="1"/>
    </xf>
    <xf numFmtId="3" fontId="119" fillId="0" borderId="0" xfId="0" applyNumberFormat="1" applyFont="1" applyAlignment="1">
      <alignment horizontal="center" vertical="center"/>
    </xf>
    <xf numFmtId="3" fontId="120" fillId="0" borderId="0" xfId="0" applyNumberFormat="1" applyFont="1" applyAlignment="1">
      <alignment horizontal="center" vertical="center" wrapText="1"/>
    </xf>
    <xf numFmtId="14" fontId="120" fillId="0" borderId="0" xfId="0" applyNumberFormat="1" applyFont="1" applyAlignment="1">
      <alignment horizontal="center" vertical="center" wrapText="1"/>
    </xf>
    <xf numFmtId="183" fontId="120" fillId="0" borderId="0" xfId="0" applyNumberFormat="1" applyFont="1" applyAlignment="1">
      <alignment horizontal="center" vertical="center" wrapText="1"/>
    </xf>
    <xf numFmtId="183" fontId="118" fillId="0" borderId="0" xfId="0" applyNumberFormat="1" applyFont="1" applyAlignment="1">
      <alignment horizontal="center" vertical="center" wrapText="1"/>
    </xf>
    <xf numFmtId="0" fontId="22" fillId="0" borderId="0" xfId="57" applyFont="1">
      <alignment/>
      <protection/>
    </xf>
    <xf numFmtId="190" fontId="22" fillId="0" borderId="0" xfId="57" applyNumberFormat="1" applyFont="1">
      <alignment/>
      <protection/>
    </xf>
    <xf numFmtId="0" fontId="103" fillId="0" borderId="0" xfId="58">
      <alignment/>
      <protection/>
    </xf>
    <xf numFmtId="3" fontId="24" fillId="37" borderId="10" xfId="44" applyNumberFormat="1" applyFont="1" applyFill="1" applyBorder="1" applyAlignment="1" applyProtection="1">
      <alignment horizontal="center" vertical="center" wrapText="1"/>
      <protection/>
    </xf>
    <xf numFmtId="3" fontId="24" fillId="10" borderId="56" xfId="44" applyNumberFormat="1" applyFont="1" applyFill="1" applyBorder="1" applyAlignment="1" applyProtection="1">
      <alignment horizontal="center" vertical="center" wrapText="1"/>
      <protection/>
    </xf>
    <xf numFmtId="3" fontId="24" fillId="37" borderId="15" xfId="44" applyNumberFormat="1" applyFont="1" applyFill="1" applyBorder="1" applyAlignment="1" applyProtection="1">
      <alignment horizontal="center" vertical="center" wrapText="1"/>
      <protection/>
    </xf>
    <xf numFmtId="3" fontId="24" fillId="10" borderId="57" xfId="44" applyNumberFormat="1" applyFont="1" applyFill="1" applyBorder="1" applyAlignment="1" applyProtection="1">
      <alignment horizontal="center" vertical="center" wrapText="1"/>
      <protection/>
    </xf>
    <xf numFmtId="3" fontId="24" fillId="37" borderId="58" xfId="44" applyNumberFormat="1" applyFont="1" applyFill="1" applyBorder="1" applyAlignment="1" applyProtection="1">
      <alignment horizontal="center" vertical="center" wrapText="1"/>
      <protection/>
    </xf>
    <xf numFmtId="3" fontId="121" fillId="0" borderId="0" xfId="58" applyNumberFormat="1" applyFont="1" applyAlignment="1">
      <alignment horizontal="center" vertical="center"/>
      <protection/>
    </xf>
    <xf numFmtId="3" fontId="121" fillId="0" borderId="0" xfId="58" applyNumberFormat="1" applyFont="1" applyAlignment="1">
      <alignment horizontal="center" vertical="center"/>
      <protection/>
    </xf>
    <xf numFmtId="3" fontId="121" fillId="0" borderId="0" xfId="58" applyNumberFormat="1" applyFont="1">
      <alignment/>
      <protection/>
    </xf>
    <xf numFmtId="3" fontId="25" fillId="0" borderId="0" xfId="44" applyNumberFormat="1" applyFont="1" applyAlignment="1" applyProtection="1">
      <alignment horizontal="center" vertical="center" wrapText="1"/>
      <protection/>
    </xf>
    <xf numFmtId="3" fontId="122" fillId="0" borderId="0" xfId="58" applyNumberFormat="1" applyFont="1">
      <alignment/>
      <protection/>
    </xf>
    <xf numFmtId="3" fontId="123" fillId="0" borderId="0" xfId="58" applyNumberFormat="1" applyFont="1" applyAlignment="1">
      <alignment horizontal="center" vertical="center"/>
      <protection/>
    </xf>
    <xf numFmtId="3" fontId="26" fillId="0" borderId="0" xfId="44" applyNumberFormat="1" applyFont="1" applyAlignment="1" applyProtection="1">
      <alignment horizontal="center" vertical="center" wrapText="1"/>
      <protection/>
    </xf>
    <xf numFmtId="3" fontId="28" fillId="0" borderId="0" xfId="58" applyNumberFormat="1" applyFont="1">
      <alignment/>
      <protection/>
    </xf>
    <xf numFmtId="0" fontId="121" fillId="0" borderId="0" xfId="58" applyFont="1">
      <alignment/>
      <protection/>
    </xf>
    <xf numFmtId="3" fontId="124" fillId="0" borderId="0" xfId="58" applyNumberFormat="1" applyFont="1">
      <alignment/>
      <protection/>
    </xf>
    <xf numFmtId="0" fontId="121" fillId="0" borderId="0" xfId="58" applyFont="1" applyAlignment="1">
      <alignment vertical="center"/>
      <protection/>
    </xf>
    <xf numFmtId="3" fontId="121" fillId="0" borderId="0" xfId="58" applyNumberFormat="1" applyFont="1">
      <alignment/>
      <protection/>
    </xf>
    <xf numFmtId="0" fontId="24" fillId="0" borderId="0" xfId="58" applyFont="1" applyAlignment="1">
      <alignment vertical="center"/>
      <protection/>
    </xf>
    <xf numFmtId="0" fontId="122" fillId="0" borderId="0" xfId="58" applyFont="1" applyAlignment="1">
      <alignment vertical="center"/>
      <protection/>
    </xf>
    <xf numFmtId="0" fontId="122" fillId="0" borderId="0" xfId="58" applyFont="1">
      <alignment/>
      <protection/>
    </xf>
    <xf numFmtId="3" fontId="24" fillId="0" borderId="0" xfId="58" applyNumberFormat="1" applyFont="1" applyAlignment="1">
      <alignment horizontal="center" vertical="center"/>
      <protection/>
    </xf>
    <xf numFmtId="3" fontId="24" fillId="0" borderId="0" xfId="58" applyNumberFormat="1" applyFont="1">
      <alignment/>
      <protection/>
    </xf>
    <xf numFmtId="0" fontId="24" fillId="0" borderId="0" xfId="58" applyFont="1">
      <alignment/>
      <protection/>
    </xf>
    <xf numFmtId="0" fontId="28" fillId="0" borderId="0" xfId="58" applyFont="1">
      <alignment/>
      <protection/>
    </xf>
    <xf numFmtId="0" fontId="24" fillId="37" borderId="10" xfId="44" applyFont="1" applyFill="1" applyBorder="1" applyAlignment="1" applyProtection="1">
      <alignment horizontal="center" vertical="center" wrapText="1"/>
      <protection/>
    </xf>
    <xf numFmtId="0" fontId="25" fillId="10" borderId="10" xfId="44" applyFont="1" applyFill="1" applyBorder="1" applyAlignment="1" applyProtection="1">
      <alignment horizontal="center" vertical="center" wrapText="1"/>
      <protection/>
    </xf>
    <xf numFmtId="49" fontId="24" fillId="10" borderId="10" xfId="44" applyNumberFormat="1" applyFont="1" applyFill="1" applyBorder="1" applyAlignment="1" applyProtection="1">
      <alignment horizontal="center" vertical="center" wrapText="1"/>
      <protection/>
    </xf>
    <xf numFmtId="0" fontId="29" fillId="37" borderId="10" xfId="44" applyFont="1" applyFill="1" applyBorder="1" applyAlignment="1" applyProtection="1">
      <alignment horizontal="center" vertical="center" wrapText="1"/>
      <protection/>
    </xf>
    <xf numFmtId="3" fontId="125" fillId="0" borderId="0" xfId="44" applyNumberFormat="1" applyFont="1" applyAlignment="1" applyProtection="1">
      <alignment horizontal="center" vertical="center" wrapText="1"/>
      <protection/>
    </xf>
    <xf numFmtId="201" fontId="125" fillId="37" borderId="10" xfId="64" applyNumberFormat="1" applyFont="1" applyFill="1" applyBorder="1" applyAlignment="1">
      <alignment horizontal="center" vertical="center" wrapText="1"/>
    </xf>
    <xf numFmtId="190" fontId="125" fillId="0" borderId="0" xfId="44" applyNumberFormat="1" applyFont="1" applyAlignment="1" applyProtection="1">
      <alignment horizontal="center" vertical="center" wrapText="1"/>
      <protection/>
    </xf>
    <xf numFmtId="190" fontId="125" fillId="0" borderId="10" xfId="44" applyNumberFormat="1" applyFont="1" applyBorder="1" applyAlignment="1" applyProtection="1">
      <alignment horizontal="center" vertical="center" wrapText="1"/>
      <protection/>
    </xf>
    <xf numFmtId="0" fontId="126" fillId="38" borderId="59" xfId="0" applyFont="1" applyFill="1" applyBorder="1" applyAlignment="1">
      <alignment vertical="center"/>
    </xf>
    <xf numFmtId="0" fontId="126" fillId="38" borderId="59" xfId="0" applyFont="1" applyFill="1" applyBorder="1" applyAlignment="1">
      <alignment horizontal="right" vertical="center"/>
    </xf>
    <xf numFmtId="0" fontId="127" fillId="38" borderId="59" xfId="0" applyFont="1" applyFill="1" applyBorder="1" applyAlignment="1">
      <alignment vertical="center"/>
    </xf>
    <xf numFmtId="0" fontId="127" fillId="38" borderId="59" xfId="0" applyFont="1" applyFill="1" applyBorder="1" applyAlignment="1">
      <alignment horizontal="right" vertical="center"/>
    </xf>
    <xf numFmtId="0" fontId="127" fillId="39" borderId="59" xfId="0" applyFont="1" applyFill="1" applyBorder="1" applyAlignment="1">
      <alignment vertical="center"/>
    </xf>
    <xf numFmtId="0" fontId="126" fillId="39" borderId="59" xfId="0" applyFont="1" applyFill="1" applyBorder="1" applyAlignment="1">
      <alignment horizontal="right" vertical="center"/>
    </xf>
    <xf numFmtId="0" fontId="127" fillId="39" borderId="59" xfId="0" applyFont="1" applyFill="1" applyBorder="1" applyAlignment="1">
      <alignment horizontal="right" vertical="center"/>
    </xf>
    <xf numFmtId="0" fontId="126" fillId="39" borderId="59" xfId="0" applyFont="1" applyFill="1" applyBorder="1" applyAlignment="1">
      <alignment vertical="center"/>
    </xf>
    <xf numFmtId="0" fontId="126" fillId="38" borderId="60" xfId="0" applyFont="1" applyFill="1" applyBorder="1" applyAlignment="1">
      <alignment horizontal="right" vertical="center"/>
    </xf>
    <xf numFmtId="0" fontId="127" fillId="38" borderId="60" xfId="0" applyFont="1" applyFill="1" applyBorder="1" applyAlignment="1">
      <alignment vertical="center"/>
    </xf>
    <xf numFmtId="0" fontId="127" fillId="38" borderId="60" xfId="0" applyFont="1" applyFill="1" applyBorder="1" applyAlignment="1">
      <alignment horizontal="right" vertical="center"/>
    </xf>
    <xf numFmtId="0" fontId="127" fillId="39" borderId="61" xfId="0" applyFont="1" applyFill="1" applyBorder="1" applyAlignment="1">
      <alignment vertical="center"/>
    </xf>
    <xf numFmtId="0" fontId="126" fillId="39" borderId="62" xfId="0" applyFont="1" applyFill="1" applyBorder="1" applyAlignment="1">
      <alignment horizontal="right" vertical="center"/>
    </xf>
    <xf numFmtId="0" fontId="127" fillId="38" borderId="61" xfId="0" applyFont="1" applyFill="1" applyBorder="1" applyAlignment="1">
      <alignment vertical="center"/>
    </xf>
    <xf numFmtId="0" fontId="126" fillId="38" borderId="62" xfId="0" applyFont="1" applyFill="1" applyBorder="1" applyAlignment="1">
      <alignment horizontal="right" vertical="center"/>
    </xf>
    <xf numFmtId="0" fontId="126" fillId="39" borderId="61" xfId="0" applyFont="1" applyFill="1" applyBorder="1" applyAlignment="1">
      <alignment vertical="center"/>
    </xf>
    <xf numFmtId="0" fontId="126" fillId="38" borderId="61" xfId="0" applyFont="1" applyFill="1" applyBorder="1" applyAlignment="1">
      <alignment vertical="center"/>
    </xf>
    <xf numFmtId="0" fontId="127" fillId="39" borderId="63" xfId="0" applyFont="1" applyFill="1" applyBorder="1" applyAlignment="1">
      <alignment vertical="center"/>
    </xf>
    <xf numFmtId="10" fontId="126" fillId="39" borderId="64" xfId="0" applyNumberFormat="1" applyFont="1" applyFill="1" applyBorder="1" applyAlignment="1">
      <alignment horizontal="right" vertical="center"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6" fillId="38" borderId="67" xfId="0" applyFont="1" applyFill="1" applyBorder="1" applyAlignment="1">
      <alignment horizontal="right" vertical="center"/>
    </xf>
    <xf numFmtId="0" fontId="0" fillId="38" borderId="68" xfId="0" applyFill="1" applyBorder="1" applyAlignment="1">
      <alignment/>
    </xf>
    <xf numFmtId="3" fontId="123" fillId="0" borderId="0" xfId="0" applyNumberFormat="1" applyFont="1" applyAlignment="1">
      <alignment horizontal="center"/>
    </xf>
    <xf numFmtId="3" fontId="128" fillId="40" borderId="0" xfId="0" applyNumberFormat="1" applyFont="1" applyFill="1" applyAlignment="1">
      <alignment horizontal="center"/>
    </xf>
    <xf numFmtId="3" fontId="128" fillId="40" borderId="0" xfId="0" applyNumberFormat="1" applyFont="1" applyFill="1" applyAlignment="1">
      <alignment horizontal="center" vertical="center"/>
    </xf>
    <xf numFmtId="3" fontId="27" fillId="40" borderId="0" xfId="0" applyNumberFormat="1" applyFont="1" applyFill="1" applyAlignment="1">
      <alignment horizontal="center" vertical="center"/>
    </xf>
    <xf numFmtId="3" fontId="129" fillId="40" borderId="0" xfId="0" applyNumberFormat="1" applyFont="1" applyFill="1" applyAlignment="1">
      <alignment horizontal="center" vertical="center"/>
    </xf>
    <xf numFmtId="184" fontId="129" fillId="40" borderId="0" xfId="0" applyNumberFormat="1" applyFont="1" applyFill="1" applyAlignment="1">
      <alignment horizontal="center" vertical="center"/>
    </xf>
    <xf numFmtId="185" fontId="121" fillId="40" borderId="0" xfId="0" applyNumberFormat="1" applyFont="1" applyFill="1" applyAlignment="1">
      <alignment/>
    </xf>
    <xf numFmtId="3" fontId="129" fillId="40" borderId="0" xfId="0" applyNumberFormat="1" applyFont="1" applyFill="1" applyAlignment="1">
      <alignment/>
    </xf>
    <xf numFmtId="3" fontId="130" fillId="40" borderId="0" xfId="0" applyNumberFormat="1" applyFont="1" applyFill="1" applyAlignment="1">
      <alignment horizontal="center"/>
    </xf>
    <xf numFmtId="3" fontId="130" fillId="9" borderId="0" xfId="0" applyNumberFormat="1" applyFont="1" applyFill="1" applyAlignment="1">
      <alignment horizontal="center"/>
    </xf>
    <xf numFmtId="3" fontId="121" fillId="9" borderId="0" xfId="0" applyNumberFormat="1" applyFont="1" applyFill="1" applyAlignment="1">
      <alignment/>
    </xf>
    <xf numFmtId="3" fontId="131" fillId="9" borderId="0" xfId="0" applyNumberFormat="1" applyFont="1" applyFill="1" applyAlignment="1">
      <alignment/>
    </xf>
    <xf numFmtId="3" fontId="131" fillId="0" borderId="0" xfId="0" applyNumberFormat="1" applyFont="1" applyAlignment="1">
      <alignment/>
    </xf>
    <xf numFmtId="3" fontId="123" fillId="2" borderId="0" xfId="0" applyNumberFormat="1" applyFont="1" applyFill="1" applyAlignment="1">
      <alignment horizontal="center" vertical="center" wrapText="1"/>
    </xf>
    <xf numFmtId="3" fontId="123" fillId="2" borderId="0" xfId="0" applyNumberFormat="1" applyFont="1" applyFill="1" applyAlignment="1">
      <alignment wrapText="1"/>
    </xf>
    <xf numFmtId="3" fontId="123" fillId="37" borderId="0" xfId="0" applyNumberFormat="1" applyFont="1" applyFill="1" applyAlignment="1">
      <alignment wrapText="1"/>
    </xf>
    <xf numFmtId="3" fontId="123" fillId="0" borderId="0" xfId="0" applyNumberFormat="1" applyFont="1" applyAlignment="1">
      <alignment wrapText="1"/>
    </xf>
    <xf numFmtId="3" fontId="123" fillId="2" borderId="10" xfId="0" applyNumberFormat="1" applyFont="1" applyFill="1" applyBorder="1" applyAlignment="1">
      <alignment horizontal="center" vertical="center" wrapText="1"/>
    </xf>
    <xf numFmtId="3" fontId="132" fillId="37" borderId="10" xfId="0" applyNumberFormat="1" applyFont="1" applyFill="1" applyBorder="1" applyAlignment="1">
      <alignment horizontal="center" vertical="center" wrapText="1"/>
    </xf>
    <xf numFmtId="3" fontId="24" fillId="41" borderId="10" xfId="0" applyNumberFormat="1" applyFont="1" applyFill="1" applyBorder="1" applyAlignment="1">
      <alignment horizontal="center" vertical="center" wrapText="1"/>
    </xf>
    <xf numFmtId="3" fontId="121" fillId="0" borderId="10" xfId="0" applyNumberFormat="1" applyFont="1" applyBorder="1" applyAlignment="1">
      <alignment horizontal="center" vertical="center" wrapText="1"/>
    </xf>
    <xf numFmtId="0" fontId="121" fillId="37" borderId="10" xfId="0" applyFont="1" applyFill="1" applyBorder="1" applyAlignment="1">
      <alignment horizontal="center" vertical="center" wrapText="1"/>
    </xf>
    <xf numFmtId="49" fontId="121" fillId="10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0" fontId="121" fillId="13" borderId="10" xfId="0" applyFont="1" applyFill="1" applyBorder="1" applyAlignment="1">
      <alignment horizontal="center" vertical="center" wrapText="1"/>
    </xf>
    <xf numFmtId="0" fontId="121" fillId="17" borderId="10" xfId="0" applyFont="1" applyFill="1" applyBorder="1" applyAlignment="1">
      <alignment horizontal="center" vertical="center" wrapText="1"/>
    </xf>
    <xf numFmtId="0" fontId="121" fillId="10" borderId="10" xfId="0" applyFont="1" applyFill="1" applyBorder="1" applyAlignment="1">
      <alignment horizontal="center" vertical="center" wrapText="1"/>
    </xf>
    <xf numFmtId="3" fontId="121" fillId="0" borderId="10" xfId="0" applyNumberFormat="1" applyFont="1" applyBorder="1" applyAlignment="1">
      <alignment wrapText="1"/>
    </xf>
    <xf numFmtId="3" fontId="122" fillId="0" borderId="0" xfId="0" applyNumberFormat="1" applyFont="1" applyAlignment="1">
      <alignment wrapText="1"/>
    </xf>
    <xf numFmtId="3" fontId="25" fillId="41" borderId="10" xfId="0" applyNumberFormat="1" applyFont="1" applyFill="1" applyBorder="1" applyAlignment="1">
      <alignment horizontal="center" vertical="center" wrapText="1"/>
    </xf>
    <xf numFmtId="0" fontId="124" fillId="37" borderId="10" xfId="0" applyFont="1" applyFill="1" applyBorder="1" applyAlignment="1">
      <alignment horizontal="center" vertical="center" wrapText="1"/>
    </xf>
    <xf numFmtId="0" fontId="124" fillId="10" borderId="1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26" fillId="13" borderId="10" xfId="0" applyFont="1" applyFill="1" applyBorder="1" applyAlignment="1">
      <alignment horizontal="center" vertical="center" wrapText="1"/>
    </xf>
    <xf numFmtId="0" fontId="124" fillId="13" borderId="10" xfId="0" applyFont="1" applyFill="1" applyBorder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 wrapText="1"/>
    </xf>
    <xf numFmtId="3" fontId="124" fillId="0" borderId="10" xfId="0" applyNumberFormat="1" applyFont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3" fontId="133" fillId="37" borderId="10" xfId="0" applyNumberFormat="1" applyFont="1" applyFill="1" applyBorder="1" applyAlignment="1">
      <alignment horizontal="center" vertical="center" wrapText="1"/>
    </xf>
    <xf numFmtId="3" fontId="26" fillId="41" borderId="10" xfId="0" applyNumberFormat="1" applyFont="1" applyFill="1" applyBorder="1" applyAlignment="1">
      <alignment horizontal="center" vertical="center" wrapText="1"/>
    </xf>
    <xf numFmtId="3" fontId="123" fillId="0" borderId="10" xfId="0" applyNumberFormat="1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123" fillId="10" borderId="10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123" fillId="13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17" borderId="10" xfId="0" applyFont="1" applyFill="1" applyBorder="1" applyAlignment="1">
      <alignment horizontal="center" vertical="center" wrapText="1"/>
    </xf>
    <xf numFmtId="3" fontId="133" fillId="41" borderId="10" xfId="0" applyNumberFormat="1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3" fontId="122" fillId="0" borderId="0" xfId="0" applyNumberFormat="1" applyFont="1" applyAlignment="1">
      <alignment wrapText="1"/>
    </xf>
    <xf numFmtId="3" fontId="123" fillId="2" borderId="69" xfId="0" applyNumberFormat="1" applyFont="1" applyFill="1" applyBorder="1" applyAlignment="1">
      <alignment horizontal="center" vertical="center" wrapText="1"/>
    </xf>
    <xf numFmtId="3" fontId="133" fillId="41" borderId="34" xfId="0" applyNumberFormat="1" applyFont="1" applyFill="1" applyBorder="1" applyAlignment="1">
      <alignment horizontal="center" vertical="center" wrapText="1"/>
    </xf>
    <xf numFmtId="3" fontId="124" fillId="0" borderId="70" xfId="0" applyNumberFormat="1" applyFont="1" applyBorder="1" applyAlignment="1">
      <alignment horizontal="center" vertical="center" wrapText="1"/>
    </xf>
    <xf numFmtId="3" fontId="24" fillId="37" borderId="56" xfId="0" applyNumberFormat="1" applyFont="1" applyFill="1" applyBorder="1" applyAlignment="1">
      <alignment horizontal="center" vertical="center" wrapText="1"/>
    </xf>
    <xf numFmtId="3" fontId="24" fillId="13" borderId="56" xfId="0" applyNumberFormat="1" applyFont="1" applyFill="1" applyBorder="1" applyAlignment="1">
      <alignment horizontal="center" wrapText="1"/>
    </xf>
    <xf numFmtId="3" fontId="121" fillId="10" borderId="56" xfId="0" applyNumberFormat="1" applyFont="1" applyFill="1" applyBorder="1" applyAlignment="1">
      <alignment horizontal="center" vertical="center" wrapText="1"/>
    </xf>
    <xf numFmtId="3" fontId="134" fillId="37" borderId="56" xfId="0" applyNumberFormat="1" applyFont="1" applyFill="1" applyBorder="1" applyAlignment="1">
      <alignment horizontal="center" vertical="center" wrapText="1"/>
    </xf>
    <xf numFmtId="3" fontId="24" fillId="13" borderId="56" xfId="0" applyNumberFormat="1" applyFont="1" applyFill="1" applyBorder="1" applyAlignment="1">
      <alignment horizontal="center" vertical="center" wrapText="1"/>
    </xf>
    <xf numFmtId="3" fontId="24" fillId="17" borderId="56" xfId="0" applyNumberFormat="1" applyFont="1" applyFill="1" applyBorder="1" applyAlignment="1">
      <alignment horizontal="center" vertical="center" wrapText="1"/>
    </xf>
    <xf numFmtId="3" fontId="24" fillId="10" borderId="70" xfId="0" applyNumberFormat="1" applyFont="1" applyFill="1" applyBorder="1" applyAlignment="1">
      <alignment horizontal="center" vertical="center" wrapText="1"/>
    </xf>
    <xf numFmtId="3" fontId="121" fillId="0" borderId="71" xfId="0" applyNumberFormat="1" applyFont="1" applyBorder="1" applyAlignment="1">
      <alignment horizontal="center" vertical="center" wrapText="1"/>
    </xf>
    <xf numFmtId="3" fontId="121" fillId="0" borderId="34" xfId="0" applyNumberFormat="1" applyFont="1" applyBorder="1" applyAlignment="1">
      <alignment wrapText="1"/>
    </xf>
    <xf numFmtId="3" fontId="122" fillId="0" borderId="10" xfId="0" applyNumberFormat="1" applyFont="1" applyBorder="1" applyAlignment="1">
      <alignment wrapText="1"/>
    </xf>
    <xf numFmtId="3" fontId="123" fillId="2" borderId="72" xfId="0" applyNumberFormat="1" applyFont="1" applyFill="1" applyBorder="1" applyAlignment="1">
      <alignment horizontal="center" vertical="center" wrapText="1"/>
    </xf>
    <xf numFmtId="3" fontId="121" fillId="37" borderId="73" xfId="0" applyNumberFormat="1" applyFont="1" applyFill="1" applyBorder="1" applyAlignment="1">
      <alignment horizontal="center" vertical="center" wrapText="1"/>
    </xf>
    <xf numFmtId="3" fontId="24" fillId="37" borderId="73" xfId="0" applyNumberFormat="1" applyFont="1" applyFill="1" applyBorder="1" applyAlignment="1">
      <alignment horizontal="center" vertical="center" wrapText="1"/>
    </xf>
    <xf numFmtId="3" fontId="24" fillId="13" borderId="73" xfId="0" applyNumberFormat="1" applyFont="1" applyFill="1" applyBorder="1" applyAlignment="1">
      <alignment horizontal="center" vertical="center" wrapText="1"/>
    </xf>
    <xf numFmtId="3" fontId="121" fillId="10" borderId="73" xfId="0" applyNumberFormat="1" applyFont="1" applyFill="1" applyBorder="1" applyAlignment="1">
      <alignment horizontal="center" vertical="center" wrapText="1"/>
    </xf>
    <xf numFmtId="3" fontId="134" fillId="37" borderId="73" xfId="0" applyNumberFormat="1" applyFont="1" applyFill="1" applyBorder="1" applyAlignment="1">
      <alignment horizontal="center" vertical="center" wrapText="1"/>
    </xf>
    <xf numFmtId="3" fontId="24" fillId="17" borderId="73" xfId="0" applyNumberFormat="1" applyFont="1" applyFill="1" applyBorder="1" applyAlignment="1">
      <alignment horizontal="center" vertical="center" wrapText="1"/>
    </xf>
    <xf numFmtId="3" fontId="24" fillId="10" borderId="29" xfId="0" applyNumberFormat="1" applyFont="1" applyFill="1" applyBorder="1" applyAlignment="1">
      <alignment horizontal="center" vertical="center" wrapText="1"/>
    </xf>
    <xf numFmtId="3" fontId="121" fillId="0" borderId="74" xfId="0" applyNumberFormat="1" applyFont="1" applyBorder="1" applyAlignment="1">
      <alignment horizontal="center" vertical="center" wrapText="1"/>
    </xf>
    <xf numFmtId="3" fontId="121" fillId="0" borderId="75" xfId="0" applyNumberFormat="1" applyFont="1" applyBorder="1" applyAlignment="1">
      <alignment wrapText="1"/>
    </xf>
    <xf numFmtId="3" fontId="121" fillId="13" borderId="73" xfId="0" applyNumberFormat="1" applyFont="1" applyFill="1" applyBorder="1" applyAlignment="1">
      <alignment horizontal="center" vertical="center" wrapText="1"/>
    </xf>
    <xf numFmtId="3" fontId="121" fillId="17" borderId="73" xfId="0" applyNumberFormat="1" applyFont="1" applyFill="1" applyBorder="1" applyAlignment="1">
      <alignment horizontal="center" vertical="center" wrapText="1"/>
    </xf>
    <xf numFmtId="3" fontId="121" fillId="10" borderId="29" xfId="0" applyNumberFormat="1" applyFont="1" applyFill="1" applyBorder="1" applyAlignment="1">
      <alignment horizontal="center" vertical="center" wrapText="1"/>
    </xf>
    <xf numFmtId="3" fontId="123" fillId="2" borderId="72" xfId="0" applyNumberFormat="1" applyFont="1" applyFill="1" applyBorder="1" applyAlignment="1">
      <alignment horizontal="center" vertical="center"/>
    </xf>
    <xf numFmtId="3" fontId="124" fillId="0" borderId="70" xfId="0" applyNumberFormat="1" applyFont="1" applyBorder="1" applyAlignment="1">
      <alignment horizontal="center" vertical="center"/>
    </xf>
    <xf numFmtId="3" fontId="121" fillId="37" borderId="73" xfId="0" applyNumberFormat="1" applyFont="1" applyFill="1" applyBorder="1" applyAlignment="1">
      <alignment horizontal="center" vertical="center"/>
    </xf>
    <xf numFmtId="3" fontId="121" fillId="10" borderId="73" xfId="0" applyNumberFormat="1" applyFont="1" applyFill="1" applyBorder="1" applyAlignment="1">
      <alignment horizontal="center" vertical="center"/>
    </xf>
    <xf numFmtId="3" fontId="121" fillId="0" borderId="75" xfId="0" applyNumberFormat="1" applyFont="1" applyBorder="1" applyAlignment="1">
      <alignment/>
    </xf>
    <xf numFmtId="3" fontId="122" fillId="0" borderId="0" xfId="0" applyNumberFormat="1" applyFont="1" applyAlignment="1">
      <alignment/>
    </xf>
    <xf numFmtId="3" fontId="122" fillId="0" borderId="10" xfId="0" applyNumberFormat="1" applyFont="1" applyBorder="1" applyAlignment="1">
      <alignment/>
    </xf>
    <xf numFmtId="3" fontId="121" fillId="37" borderId="73" xfId="0" applyNumberFormat="1" applyFont="1" applyFill="1" applyBorder="1" applyAlignment="1">
      <alignment horizontal="center"/>
    </xf>
    <xf numFmtId="3" fontId="133" fillId="41" borderId="0" xfId="0" applyNumberFormat="1" applyFont="1" applyFill="1" applyAlignment="1">
      <alignment horizontal="center" vertical="center" wrapText="1"/>
    </xf>
    <xf numFmtId="3" fontId="124" fillId="0" borderId="41" xfId="0" applyNumberFormat="1" applyFont="1" applyBorder="1" applyAlignment="1">
      <alignment horizontal="center" vertical="center"/>
    </xf>
    <xf numFmtId="3" fontId="121" fillId="37" borderId="76" xfId="0" applyNumberFormat="1" applyFont="1" applyFill="1" applyBorder="1" applyAlignment="1">
      <alignment horizontal="center" vertical="center"/>
    </xf>
    <xf numFmtId="3" fontId="24" fillId="13" borderId="76" xfId="0" applyNumberFormat="1" applyFont="1" applyFill="1" applyBorder="1" applyAlignment="1">
      <alignment horizontal="center" vertical="center" wrapText="1"/>
    </xf>
    <xf numFmtId="3" fontId="121" fillId="10" borderId="76" xfId="0" applyNumberFormat="1" applyFont="1" applyFill="1" applyBorder="1" applyAlignment="1">
      <alignment horizontal="center" vertical="center"/>
    </xf>
    <xf numFmtId="3" fontId="134" fillId="37" borderId="76" xfId="0" applyNumberFormat="1" applyFont="1" applyFill="1" applyBorder="1" applyAlignment="1">
      <alignment horizontal="center" vertical="center" wrapText="1"/>
    </xf>
    <xf numFmtId="3" fontId="24" fillId="17" borderId="76" xfId="0" applyNumberFormat="1" applyFont="1" applyFill="1" applyBorder="1" applyAlignment="1">
      <alignment horizontal="center" vertical="center" wrapText="1"/>
    </xf>
    <xf numFmtId="3" fontId="24" fillId="10" borderId="77" xfId="0" applyNumberFormat="1" applyFont="1" applyFill="1" applyBorder="1" applyAlignment="1">
      <alignment horizontal="center" vertical="center" wrapText="1"/>
    </xf>
    <xf numFmtId="201" fontId="135" fillId="2" borderId="77" xfId="0" applyNumberFormat="1" applyFont="1" applyFill="1" applyBorder="1" applyAlignment="1">
      <alignment horizontal="center" vertical="center" wrapText="1"/>
    </xf>
    <xf numFmtId="201" fontId="135" fillId="37" borderId="10" xfId="0" applyNumberFormat="1" applyFont="1" applyFill="1" applyBorder="1" applyAlignment="1">
      <alignment horizontal="center" vertical="center" wrapText="1"/>
    </xf>
    <xf numFmtId="201" fontId="135" fillId="41" borderId="10" xfId="0" applyNumberFormat="1" applyFont="1" applyFill="1" applyBorder="1" applyAlignment="1">
      <alignment horizontal="center" vertical="center" wrapText="1"/>
    </xf>
    <xf numFmtId="201" fontId="125" fillId="0" borderId="10" xfId="0" applyNumberFormat="1" applyFont="1" applyBorder="1" applyAlignment="1">
      <alignment horizontal="center" vertical="center" wrapText="1"/>
    </xf>
    <xf numFmtId="201" fontId="125" fillId="37" borderId="10" xfId="0" applyNumberFormat="1" applyFont="1" applyFill="1" applyBorder="1" applyAlignment="1">
      <alignment horizontal="center" vertical="center" wrapText="1"/>
    </xf>
    <xf numFmtId="201" fontId="125" fillId="10" borderId="10" xfId="0" applyNumberFormat="1" applyFont="1" applyFill="1" applyBorder="1" applyAlignment="1">
      <alignment horizontal="center" vertical="center" wrapText="1"/>
    </xf>
    <xf numFmtId="201" fontId="125" fillId="13" borderId="10" xfId="0" applyNumberFormat="1" applyFont="1" applyFill="1" applyBorder="1" applyAlignment="1">
      <alignment horizontal="center" vertical="center" wrapText="1"/>
    </xf>
    <xf numFmtId="201" fontId="125" fillId="17" borderId="10" xfId="0" applyNumberFormat="1" applyFont="1" applyFill="1" applyBorder="1" applyAlignment="1">
      <alignment horizontal="center" vertical="center" wrapText="1"/>
    </xf>
    <xf numFmtId="201" fontId="125" fillId="0" borderId="74" xfId="0" applyNumberFormat="1" applyFont="1" applyBorder="1" applyAlignment="1">
      <alignment horizontal="center" vertical="center" wrapText="1"/>
    </xf>
    <xf numFmtId="201" fontId="125" fillId="0" borderId="75" xfId="0" applyNumberFormat="1" applyFont="1" applyBorder="1" applyAlignment="1">
      <alignment/>
    </xf>
    <xf numFmtId="201" fontId="125" fillId="0" borderId="0" xfId="0" applyNumberFormat="1" applyFont="1" applyAlignment="1">
      <alignment/>
    </xf>
    <xf numFmtId="0" fontId="135" fillId="2" borderId="77" xfId="0" applyFont="1" applyFill="1" applyBorder="1" applyAlignment="1">
      <alignment horizontal="center" vertical="center"/>
    </xf>
    <xf numFmtId="0" fontId="135" fillId="37" borderId="10" xfId="0" applyFont="1" applyFill="1" applyBorder="1" applyAlignment="1">
      <alignment horizontal="center" vertical="center" wrapText="1"/>
    </xf>
    <xf numFmtId="0" fontId="135" fillId="41" borderId="10" xfId="0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/>
    </xf>
    <xf numFmtId="0" fontId="125" fillId="37" borderId="10" xfId="0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25" fillId="10" borderId="10" xfId="0" applyFont="1" applyFill="1" applyBorder="1" applyAlignment="1">
      <alignment horizontal="center" vertical="center" wrapText="1"/>
    </xf>
    <xf numFmtId="0" fontId="125" fillId="13" borderId="10" xfId="0" applyFont="1" applyFill="1" applyBorder="1" applyAlignment="1">
      <alignment horizontal="center" vertical="center" wrapText="1"/>
    </xf>
    <xf numFmtId="0" fontId="135" fillId="17" borderId="10" xfId="0" applyFont="1" applyFill="1" applyBorder="1" applyAlignment="1">
      <alignment horizontal="center" vertical="center" wrapText="1"/>
    </xf>
    <xf numFmtId="0" fontId="125" fillId="0" borderId="74" xfId="0" applyFont="1" applyBorder="1" applyAlignment="1">
      <alignment horizontal="center" vertical="center" wrapText="1"/>
    </xf>
    <xf numFmtId="0" fontId="125" fillId="0" borderId="75" xfId="0" applyFont="1" applyBorder="1" applyAlignment="1">
      <alignment/>
    </xf>
    <xf numFmtId="0" fontId="125" fillId="0" borderId="0" xfId="0" applyFont="1" applyAlignment="1">
      <alignment/>
    </xf>
    <xf numFmtId="3" fontId="135" fillId="2" borderId="10" xfId="0" applyNumberFormat="1" applyFont="1" applyFill="1" applyBorder="1" applyAlignment="1">
      <alignment horizontal="center" vertical="center"/>
    </xf>
    <xf numFmtId="3" fontId="135" fillId="37" borderId="10" xfId="0" applyNumberFormat="1" applyFont="1" applyFill="1" applyBorder="1" applyAlignment="1">
      <alignment horizontal="center" vertical="center" wrapText="1"/>
    </xf>
    <xf numFmtId="3" fontId="135" fillId="41" borderId="10" xfId="0" applyNumberFormat="1" applyFont="1" applyFill="1" applyBorder="1" applyAlignment="1">
      <alignment horizontal="center" vertical="center" wrapText="1"/>
    </xf>
    <xf numFmtId="3" fontId="125" fillId="0" borderId="10" xfId="0" applyNumberFormat="1" applyFont="1" applyBorder="1" applyAlignment="1">
      <alignment horizontal="center" vertical="center"/>
    </xf>
    <xf numFmtId="3" fontId="125" fillId="37" borderId="10" xfId="0" applyNumberFormat="1" applyFont="1" applyFill="1" applyBorder="1" applyAlignment="1">
      <alignment horizontal="center" vertical="center" wrapText="1"/>
    </xf>
    <xf numFmtId="3" fontId="125" fillId="0" borderId="10" xfId="0" applyNumberFormat="1" applyFont="1" applyBorder="1" applyAlignment="1">
      <alignment horizontal="center" vertical="center" wrapText="1"/>
    </xf>
    <xf numFmtId="3" fontId="125" fillId="0" borderId="78" xfId="0" applyNumberFormat="1" applyFont="1" applyBorder="1" applyAlignment="1">
      <alignment horizontal="center" vertical="center" wrapText="1"/>
    </xf>
    <xf numFmtId="3" fontId="125" fillId="0" borderId="75" xfId="0" applyNumberFormat="1" applyFont="1" applyBorder="1" applyAlignment="1">
      <alignment/>
    </xf>
    <xf numFmtId="3" fontId="125" fillId="0" borderId="0" xfId="0" applyNumberFormat="1" applyFont="1" applyAlignment="1">
      <alignment/>
    </xf>
    <xf numFmtId="190" fontId="125" fillId="37" borderId="10" xfId="0" applyNumberFormat="1" applyFont="1" applyFill="1" applyBorder="1" applyAlignment="1">
      <alignment horizontal="center" vertical="center" wrapText="1"/>
    </xf>
    <xf numFmtId="190" fontId="125" fillId="0" borderId="10" xfId="0" applyNumberFormat="1" applyFont="1" applyBorder="1" applyAlignment="1">
      <alignment horizontal="center" vertical="center" wrapText="1"/>
    </xf>
    <xf numFmtId="190" fontId="125" fillId="10" borderId="10" xfId="0" applyNumberFormat="1" applyFont="1" applyFill="1" applyBorder="1" applyAlignment="1">
      <alignment horizontal="center" vertical="center" wrapText="1"/>
    </xf>
    <xf numFmtId="190" fontId="125" fillId="13" borderId="10" xfId="0" applyNumberFormat="1" applyFont="1" applyFill="1" applyBorder="1" applyAlignment="1">
      <alignment horizontal="center" vertical="center" wrapText="1"/>
    </xf>
    <xf numFmtId="190" fontId="125" fillId="17" borderId="10" xfId="0" applyNumberFormat="1" applyFont="1" applyFill="1" applyBorder="1" applyAlignment="1">
      <alignment horizontal="center" vertical="center" wrapText="1"/>
    </xf>
    <xf numFmtId="190" fontId="125" fillId="0" borderId="0" xfId="0" applyNumberFormat="1" applyFont="1" applyAlignment="1">
      <alignment/>
    </xf>
    <xf numFmtId="3" fontId="121" fillId="0" borderId="0" xfId="0" applyNumberFormat="1" applyFont="1" applyAlignment="1">
      <alignment horizontal="center" vertical="center"/>
    </xf>
    <xf numFmtId="3" fontId="121" fillId="0" borderId="0" xfId="0" applyNumberFormat="1" applyFont="1" applyAlignment="1">
      <alignment horizontal="center" vertical="center"/>
    </xf>
    <xf numFmtId="3" fontId="121" fillId="0" borderId="0" xfId="0" applyNumberFormat="1" applyFont="1" applyAlignment="1">
      <alignment/>
    </xf>
    <xf numFmtId="3" fontId="123" fillId="0" borderId="41" xfId="0" applyNumberFormat="1" applyFont="1" applyBorder="1" applyAlignment="1">
      <alignment horizontal="center" vertical="center" wrapText="1"/>
    </xf>
    <xf numFmtId="3" fontId="123" fillId="0" borderId="0" xfId="0" applyNumberFormat="1" applyFont="1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3" fontId="122" fillId="0" borderId="0" xfId="0" applyNumberFormat="1" applyFont="1" applyAlignment="1">
      <alignment/>
    </xf>
    <xf numFmtId="3" fontId="121" fillId="37" borderId="0" xfId="0" applyNumberFormat="1" applyFont="1" applyFill="1" applyAlignment="1">
      <alignment horizontal="center" vertical="center" wrapText="1"/>
    </xf>
    <xf numFmtId="3" fontId="136" fillId="0" borderId="0" xfId="0" applyNumberFormat="1" applyFont="1" applyAlignment="1">
      <alignment horizontal="center" vertical="center"/>
    </xf>
    <xf numFmtId="3" fontId="137" fillId="0" borderId="0" xfId="0" applyNumberFormat="1" applyFont="1" applyAlignment="1">
      <alignment horizontal="center" vertical="center"/>
    </xf>
    <xf numFmtId="3" fontId="123" fillId="0" borderId="41" xfId="0" applyNumberFormat="1" applyFont="1" applyBorder="1" applyAlignment="1">
      <alignment horizontal="center" vertical="center"/>
    </xf>
    <xf numFmtId="3" fontId="123" fillId="0" borderId="0" xfId="0" applyNumberFormat="1" applyFont="1" applyAlignment="1">
      <alignment horizontal="center" vertical="center"/>
    </xf>
    <xf numFmtId="3" fontId="124" fillId="37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123" fillId="37" borderId="0" xfId="0" applyNumberFormat="1" applyFont="1" applyFill="1" applyAlignment="1">
      <alignment horizontal="center" vertical="center" wrapText="1"/>
    </xf>
    <xf numFmtId="3" fontId="135" fillId="0" borderId="0" xfId="0" applyNumberFormat="1" applyFont="1" applyAlignment="1">
      <alignment horizontal="center" vertical="center"/>
    </xf>
    <xf numFmtId="3" fontId="135" fillId="0" borderId="0" xfId="0" applyNumberFormat="1" applyFont="1" applyAlignment="1">
      <alignment horizontal="center" vertical="center" wrapText="1"/>
    </xf>
    <xf numFmtId="190" fontId="125" fillId="0" borderId="0" xfId="0" applyNumberFormat="1" applyFont="1" applyAlignment="1">
      <alignment horizontal="center" vertical="center" wrapText="1"/>
    </xf>
    <xf numFmtId="0" fontId="138" fillId="37" borderId="10" xfId="0" applyFont="1" applyFill="1" applyBorder="1" applyAlignment="1">
      <alignment horizontal="center" vertical="center" wrapText="1"/>
    </xf>
    <xf numFmtId="49" fontId="134" fillId="37" borderId="10" xfId="0" applyNumberFormat="1" applyFont="1" applyFill="1" applyBorder="1" applyAlignment="1">
      <alignment horizontal="center" vertical="center" wrapText="1"/>
    </xf>
    <xf numFmtId="0" fontId="139" fillId="37" borderId="10" xfId="0" applyFont="1" applyFill="1" applyBorder="1" applyAlignment="1">
      <alignment horizontal="center" vertical="center" wrapText="1"/>
    </xf>
    <xf numFmtId="3" fontId="134" fillId="37" borderId="73" xfId="0" applyNumberFormat="1" applyFont="1" applyFill="1" applyBorder="1" applyAlignment="1">
      <alignment horizontal="center" vertical="center"/>
    </xf>
    <xf numFmtId="3" fontId="134" fillId="37" borderId="76" xfId="0" applyNumberFormat="1" applyFont="1" applyFill="1" applyBorder="1" applyAlignment="1">
      <alignment horizontal="center" vertical="center"/>
    </xf>
    <xf numFmtId="201" fontId="113" fillId="37" borderId="10" xfId="0" applyNumberFormat="1" applyFont="1" applyFill="1" applyBorder="1" applyAlignment="1">
      <alignment horizontal="center" vertical="center" wrapText="1"/>
    </xf>
    <xf numFmtId="0" fontId="113" fillId="37" borderId="10" xfId="0" applyFont="1" applyFill="1" applyBorder="1" applyAlignment="1">
      <alignment horizontal="center" vertical="center" wrapText="1"/>
    </xf>
    <xf numFmtId="190" fontId="113" fillId="37" borderId="10" xfId="0" applyNumberFormat="1" applyFont="1" applyFill="1" applyBorder="1" applyAlignment="1">
      <alignment horizontal="center" vertical="center" wrapText="1"/>
    </xf>
    <xf numFmtId="3" fontId="123" fillId="42" borderId="41" xfId="0" applyNumberFormat="1" applyFont="1" applyFill="1" applyBorder="1" applyAlignment="1">
      <alignment horizontal="center" vertical="center" wrapText="1"/>
    </xf>
    <xf numFmtId="3" fontId="123" fillId="42" borderId="0" xfId="0" applyNumberFormat="1" applyFont="1" applyFill="1" applyAlignment="1">
      <alignment horizontal="center" vertical="center"/>
    </xf>
    <xf numFmtId="3" fontId="123" fillId="0" borderId="0" xfId="0" applyNumberFormat="1" applyFont="1" applyAlignment="1">
      <alignment horizontal="center" vertical="center"/>
    </xf>
    <xf numFmtId="3" fontId="124" fillId="0" borderId="0" xfId="0" applyNumberFormat="1" applyFont="1" applyAlignment="1">
      <alignment horizontal="center" vertical="center"/>
    </xf>
    <xf numFmtId="3" fontId="124" fillId="0" borderId="0" xfId="58" applyNumberFormat="1" applyFont="1" applyAlignment="1">
      <alignment horizontal="center" vertical="center"/>
      <protection/>
    </xf>
    <xf numFmtId="3" fontId="122" fillId="0" borderId="0" xfId="58" applyNumberFormat="1" applyFont="1" applyAlignment="1">
      <alignment horizontal="center"/>
      <protection/>
    </xf>
    <xf numFmtId="0" fontId="103" fillId="0" borderId="0" xfId="58" applyAlignment="1">
      <alignment horizontal="center"/>
      <protection/>
    </xf>
    <xf numFmtId="3" fontId="25" fillId="0" borderId="0" xfId="44" applyNumberFormat="1" applyFont="1" applyAlignment="1" applyProtection="1">
      <alignment horizontal="right" vertical="center" wrapText="1"/>
      <protection/>
    </xf>
    <xf numFmtId="3" fontId="108" fillId="0" borderId="0" xfId="0" applyNumberFormat="1" applyFont="1" applyAlignment="1">
      <alignment/>
    </xf>
    <xf numFmtId="0" fontId="87" fillId="0" borderId="0" xfId="59">
      <alignment/>
      <protection/>
    </xf>
    <xf numFmtId="0" fontId="104" fillId="0" borderId="10" xfId="59" applyFont="1" applyBorder="1">
      <alignment/>
      <protection/>
    </xf>
    <xf numFmtId="0" fontId="140" fillId="0" borderId="10" xfId="59" applyFont="1" applyBorder="1" applyAlignment="1">
      <alignment horizontal="center"/>
      <protection/>
    </xf>
    <xf numFmtId="0" fontId="87" fillId="0" borderId="10" xfId="59" applyBorder="1">
      <alignment/>
      <protection/>
    </xf>
    <xf numFmtId="0" fontId="87" fillId="0" borderId="15" xfId="59" applyBorder="1">
      <alignment/>
      <protection/>
    </xf>
    <xf numFmtId="0" fontId="80" fillId="0" borderId="51" xfId="59" applyFont="1" applyBorder="1">
      <alignment/>
      <protection/>
    </xf>
    <xf numFmtId="0" fontId="104" fillId="0" borderId="0" xfId="59" applyFont="1">
      <alignment/>
      <protection/>
    </xf>
    <xf numFmtId="0" fontId="141" fillId="37" borderId="10" xfId="59" applyFont="1" applyFill="1" applyBorder="1" applyAlignment="1">
      <alignment horizontal="left" vertical="center" wrapText="1"/>
      <protection/>
    </xf>
    <xf numFmtId="0" fontId="81" fillId="37" borderId="10" xfId="59" applyFont="1" applyFill="1" applyBorder="1" applyAlignment="1">
      <alignment horizontal="left" vertical="center" wrapText="1"/>
      <protection/>
    </xf>
    <xf numFmtId="0" fontId="81" fillId="37" borderId="10" xfId="59" applyFont="1" applyFill="1" applyBorder="1" applyAlignment="1">
      <alignment horizontal="center" vertical="center" wrapText="1"/>
      <protection/>
    </xf>
    <xf numFmtId="0" fontId="0" fillId="37" borderId="10" xfId="59" applyFont="1" applyFill="1" applyBorder="1" applyAlignment="1">
      <alignment wrapText="1"/>
      <protection/>
    </xf>
    <xf numFmtId="0" fontId="87" fillId="37" borderId="10" xfId="59" applyFill="1" applyBorder="1" applyAlignment="1">
      <alignment wrapText="1"/>
      <protection/>
    </xf>
    <xf numFmtId="0" fontId="0" fillId="37" borderId="10" xfId="59" applyFont="1" applyFill="1" applyBorder="1" applyAlignment="1">
      <alignment horizontal="center" wrapText="1"/>
      <protection/>
    </xf>
    <xf numFmtId="0" fontId="140" fillId="0" borderId="0" xfId="59" applyFont="1" applyAlignment="1">
      <alignment horizontal="center"/>
      <protection/>
    </xf>
    <xf numFmtId="174" fontId="87" fillId="0" borderId="0" xfId="59" applyNumberFormat="1">
      <alignment/>
      <protection/>
    </xf>
    <xf numFmtId="0" fontId="104" fillId="0" borderId="51" xfId="59" applyFont="1" applyBorder="1">
      <alignment/>
      <protection/>
    </xf>
    <xf numFmtId="0" fontId="104" fillId="0" borderId="38" xfId="59" applyFont="1" applyBorder="1">
      <alignment/>
      <protection/>
    </xf>
    <xf numFmtId="174" fontId="87" fillId="0" borderId="10" xfId="59" applyNumberFormat="1" applyBorder="1">
      <alignment/>
      <protection/>
    </xf>
    <xf numFmtId="0" fontId="140" fillId="0" borderId="51" xfId="59" applyFont="1" applyBorder="1" applyAlignment="1">
      <alignment horizontal="center"/>
      <protection/>
    </xf>
    <xf numFmtId="0" fontId="140" fillId="0" borderId="33" xfId="59" applyFont="1" applyBorder="1" applyAlignment="1">
      <alignment horizontal="center"/>
      <protection/>
    </xf>
    <xf numFmtId="0" fontId="140" fillId="0" borderId="79" xfId="59" applyFont="1" applyBorder="1" applyAlignment="1">
      <alignment horizontal="center"/>
      <protection/>
    </xf>
    <xf numFmtId="174" fontId="87" fillId="0" borderId="0" xfId="59" applyNumberFormat="1">
      <alignment/>
      <protection/>
    </xf>
    <xf numFmtId="174" fontId="104" fillId="0" borderId="10" xfId="59" applyNumberFormat="1" applyFont="1" applyBorder="1">
      <alignment/>
      <protection/>
    </xf>
    <xf numFmtId="0" fontId="87" fillId="37" borderId="10" xfId="59" applyFill="1" applyBorder="1" applyAlignment="1">
      <alignment wrapText="1"/>
      <protection/>
    </xf>
    <xf numFmtId="0" fontId="140" fillId="37" borderId="10" xfId="59" applyFont="1" applyFill="1" applyBorder="1">
      <alignment/>
      <protection/>
    </xf>
    <xf numFmtId="0" fontId="87" fillId="37" borderId="10" xfId="59" applyFill="1" applyBorder="1">
      <alignment/>
      <protection/>
    </xf>
    <xf numFmtId="0" fontId="142" fillId="41" borderId="10" xfId="59" applyFont="1" applyFill="1" applyBorder="1">
      <alignment/>
      <protection/>
    </xf>
    <xf numFmtId="0" fontId="143" fillId="37" borderId="10" xfId="59" applyFont="1" applyFill="1" applyBorder="1">
      <alignment/>
      <protection/>
    </xf>
    <xf numFmtId="0" fontId="104" fillId="36" borderId="10" xfId="59" applyFont="1" applyFill="1" applyBorder="1">
      <alignment/>
      <protection/>
    </xf>
    <xf numFmtId="0" fontId="104" fillId="43" borderId="10" xfId="59" applyFont="1" applyFill="1" applyBorder="1">
      <alignment/>
      <protection/>
    </xf>
    <xf numFmtId="17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4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/>
    </xf>
    <xf numFmtId="0" fontId="5" fillId="34" borderId="8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119" fillId="0" borderId="0" xfId="0" applyNumberFormat="1" applyFont="1" applyAlignment="1">
      <alignment horizontal="center" vertical="center"/>
    </xf>
    <xf numFmtId="0" fontId="145" fillId="0" borderId="0" xfId="0" applyFont="1" applyAlignment="1">
      <alignment horizontal="center" vertical="center"/>
    </xf>
    <xf numFmtId="3" fontId="123" fillId="2" borderId="34" xfId="0" applyNumberFormat="1" applyFont="1" applyFill="1" applyBorder="1" applyAlignment="1">
      <alignment horizontal="center" vertical="center" wrapText="1"/>
    </xf>
    <xf numFmtId="3" fontId="123" fillId="0" borderId="34" xfId="0" applyNumberFormat="1" applyFont="1" applyBorder="1" applyAlignment="1">
      <alignment horizontal="center" vertical="center" wrapText="1"/>
    </xf>
    <xf numFmtId="3" fontId="123" fillId="0" borderId="0" xfId="0" applyNumberFormat="1" applyFont="1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3" fontId="123" fillId="0" borderId="0" xfId="0" applyNumberFormat="1" applyFont="1" applyAlignment="1">
      <alignment wrapText="1"/>
    </xf>
    <xf numFmtId="0" fontId="146" fillId="0" borderId="0" xfId="0" applyFont="1" applyAlignment="1">
      <alignment wrapText="1"/>
    </xf>
    <xf numFmtId="3" fontId="123" fillId="2" borderId="34" xfId="0" applyNumberFormat="1" applyFont="1" applyFill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3" fontId="123" fillId="2" borderId="0" xfId="0" applyNumberFormat="1" applyFont="1" applyFill="1" applyAlignment="1">
      <alignment horizontal="center" vertical="center"/>
    </xf>
    <xf numFmtId="0" fontId="124" fillId="0" borderId="0" xfId="0" applyFont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ás 2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Összesen" xfId="60"/>
    <cellStyle name="Currency" xfId="61"/>
    <cellStyle name="Currency [0]" xfId="62"/>
    <cellStyle name="Pénznem 2" xfId="63"/>
    <cellStyle name="Pénznem 3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421875" style="1" bestFit="1" customWidth="1"/>
    <col min="2" max="2" width="31.421875" style="0" bestFit="1" customWidth="1"/>
    <col min="3" max="3" width="14.421875" style="16" bestFit="1" customWidth="1"/>
    <col min="8" max="8" width="26.28125" style="0" bestFit="1" customWidth="1"/>
  </cols>
  <sheetData>
    <row r="1" spans="1:3" ht="13.5" thickBot="1">
      <c r="A1" s="9" t="s">
        <v>19</v>
      </c>
      <c r="B1" s="8" t="s">
        <v>13</v>
      </c>
      <c r="C1" s="17">
        <f>SUM(C2:C14)</f>
        <v>346000</v>
      </c>
    </row>
    <row r="2" spans="1:3" ht="12.75">
      <c r="A2" s="6">
        <v>1</v>
      </c>
      <c r="B2" s="7" t="s">
        <v>17</v>
      </c>
      <c r="C2" s="13"/>
    </row>
    <row r="3" spans="1:3" ht="12.75">
      <c r="A3" s="3">
        <v>2</v>
      </c>
      <c r="B3" s="2" t="s">
        <v>14</v>
      </c>
      <c r="C3" s="13"/>
    </row>
    <row r="4" spans="1:3" ht="12.75">
      <c r="A4" s="3">
        <v>3</v>
      </c>
      <c r="B4" s="2" t="s">
        <v>15</v>
      </c>
      <c r="C4" s="13"/>
    </row>
    <row r="5" spans="1:3" ht="12.75">
      <c r="A5" s="3">
        <v>4</v>
      </c>
      <c r="B5" s="2" t="s">
        <v>23</v>
      </c>
      <c r="C5" s="13"/>
    </row>
    <row r="6" spans="1:3" ht="12.75">
      <c r="A6" s="3">
        <v>5</v>
      </c>
      <c r="B6" s="2" t="s">
        <v>16</v>
      </c>
      <c r="C6" s="13"/>
    </row>
    <row r="7" spans="1:3" ht="12.75">
      <c r="A7" s="3">
        <v>6</v>
      </c>
      <c r="B7" s="2" t="s">
        <v>18</v>
      </c>
      <c r="C7" s="199">
        <v>0</v>
      </c>
    </row>
    <row r="8" spans="1:3" ht="12.75">
      <c r="A8" s="3">
        <v>7</v>
      </c>
      <c r="B8" s="2" t="s">
        <v>22</v>
      </c>
      <c r="C8" s="14">
        <v>0</v>
      </c>
    </row>
    <row r="9" spans="1:3" ht="12.75">
      <c r="A9" s="3">
        <v>8</v>
      </c>
      <c r="B9" s="2" t="s">
        <v>20</v>
      </c>
      <c r="C9" s="199">
        <v>0</v>
      </c>
    </row>
    <row r="10" spans="1:3" ht="12.75">
      <c r="A10" s="3">
        <v>9</v>
      </c>
      <c r="B10" s="2" t="s">
        <v>24</v>
      </c>
      <c r="C10" s="14">
        <f>78000+268000</f>
        <v>346000</v>
      </c>
    </row>
    <row r="11" spans="1:3" ht="12.75">
      <c r="A11" s="3">
        <v>10</v>
      </c>
      <c r="B11" s="2"/>
      <c r="C11" s="14"/>
    </row>
    <row r="12" spans="1:3" ht="12.75">
      <c r="A12" s="3">
        <v>11</v>
      </c>
      <c r="B12" s="2"/>
      <c r="C12" s="14"/>
    </row>
    <row r="13" spans="1:3" ht="12.75">
      <c r="A13" s="3">
        <v>12</v>
      </c>
      <c r="B13" s="2"/>
      <c r="C13" s="14"/>
    </row>
    <row r="14" spans="1:3" ht="13.5" thickBot="1">
      <c r="A14" s="4">
        <v>13</v>
      </c>
      <c r="B14" s="5"/>
      <c r="C14" s="15"/>
    </row>
    <row r="16" spans="5:8" ht="26.25" thickBot="1">
      <c r="E16" s="485" t="s">
        <v>1</v>
      </c>
      <c r="F16" s="485"/>
      <c r="G16" s="485"/>
      <c r="H16" s="10">
        <f>C1+C17</f>
        <v>17999960</v>
      </c>
    </row>
    <row r="17" spans="1:8" ht="13.5" customHeight="1" thickBot="1">
      <c r="A17" s="9" t="s">
        <v>19</v>
      </c>
      <c r="B17" s="8" t="s">
        <v>21</v>
      </c>
      <c r="C17" s="17">
        <f>SUM(C18:C30)</f>
        <v>17653960</v>
      </c>
      <c r="E17" s="11"/>
      <c r="F17" s="11"/>
      <c r="G17" s="11"/>
      <c r="H17" s="12"/>
    </row>
    <row r="18" spans="1:3" ht="12.75">
      <c r="A18" s="6">
        <v>1</v>
      </c>
      <c r="B18" s="7" t="s">
        <v>17</v>
      </c>
      <c r="C18" s="13"/>
    </row>
    <row r="19" spans="1:3" ht="12.75">
      <c r="A19" s="3">
        <v>2</v>
      </c>
      <c r="B19" s="2" t="s">
        <v>14</v>
      </c>
      <c r="C19" s="14"/>
    </row>
    <row r="20" spans="1:3" ht="12.75">
      <c r="A20" s="3">
        <v>3</v>
      </c>
      <c r="B20" s="2" t="s">
        <v>15</v>
      </c>
      <c r="C20" s="14"/>
    </row>
    <row r="21" spans="1:3" ht="12.75">
      <c r="A21" s="3">
        <v>4</v>
      </c>
      <c r="B21" s="2" t="s">
        <v>23</v>
      </c>
      <c r="C21" s="14"/>
    </row>
    <row r="22" spans="1:3" ht="12.75">
      <c r="A22" s="3">
        <v>5</v>
      </c>
      <c r="B22" s="2" t="s">
        <v>16</v>
      </c>
      <c r="C22" s="14"/>
    </row>
    <row r="23" spans="1:3" ht="12.75">
      <c r="A23" s="3">
        <v>6</v>
      </c>
      <c r="B23" s="2" t="s">
        <v>18</v>
      </c>
      <c r="C23" s="14"/>
    </row>
    <row r="24" spans="1:3" ht="12.75">
      <c r="A24" s="3">
        <v>7</v>
      </c>
      <c r="B24" s="2" t="s">
        <v>22</v>
      </c>
      <c r="C24" s="14"/>
    </row>
    <row r="25" spans="1:3" ht="12.75">
      <c r="A25" s="3">
        <v>8</v>
      </c>
      <c r="B25" s="2" t="s">
        <v>20</v>
      </c>
      <c r="C25" s="14"/>
    </row>
    <row r="26" spans="1:3" ht="12.75">
      <c r="A26" s="3">
        <v>9</v>
      </c>
      <c r="B26" s="174" t="s">
        <v>178</v>
      </c>
      <c r="C26" s="14">
        <v>17453000</v>
      </c>
    </row>
    <row r="27" spans="1:3" ht="12.75">
      <c r="A27" s="3">
        <v>10</v>
      </c>
      <c r="B27" s="174" t="s">
        <v>179</v>
      </c>
      <c r="C27" s="14">
        <f>628*320</f>
        <v>200960</v>
      </c>
    </row>
    <row r="28" spans="1:3" ht="12.75">
      <c r="A28" s="3">
        <v>11</v>
      </c>
      <c r="B28" s="174" t="s">
        <v>236</v>
      </c>
      <c r="C28" s="14"/>
    </row>
    <row r="29" spans="1:3" ht="12.75">
      <c r="A29" s="3">
        <v>12</v>
      </c>
      <c r="B29" s="2" t="s">
        <v>238</v>
      </c>
      <c r="C29" s="14"/>
    </row>
    <row r="30" spans="1:3" ht="13.5" thickBot="1">
      <c r="A30" s="4">
        <v>13</v>
      </c>
      <c r="B30" s="5"/>
      <c r="C30" s="15"/>
    </row>
  </sheetData>
  <sheetProtection/>
  <protectedRanges>
    <protectedRange sqref="C18:C30" name="Tartom?ny2"/>
    <protectedRange sqref="C2 C7:C14" name="Tartom?ny1"/>
  </protectedRanges>
  <mergeCells count="1">
    <mergeCell ref="E16:G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46.8515625" style="0" customWidth="1"/>
    <col min="3" max="3" width="30.140625" style="42" customWidth="1"/>
  </cols>
  <sheetData>
    <row r="1" spans="1:3" ht="21" thickBot="1">
      <c r="A1" s="30" t="s">
        <v>19</v>
      </c>
      <c r="B1" s="31" t="s">
        <v>28</v>
      </c>
      <c r="C1" s="47">
        <f>SUM(C2:C17)</f>
        <v>4813000</v>
      </c>
    </row>
    <row r="2" spans="1:3" ht="20.25">
      <c r="A2" s="19">
        <v>1</v>
      </c>
      <c r="B2" s="20" t="s">
        <v>225</v>
      </c>
      <c r="C2" s="48">
        <v>520000</v>
      </c>
    </row>
    <row r="3" spans="1:3" ht="20.25">
      <c r="A3" s="22">
        <v>2</v>
      </c>
      <c r="B3" s="23" t="s">
        <v>29</v>
      </c>
      <c r="C3" s="49">
        <v>600000</v>
      </c>
    </row>
    <row r="4" spans="1:3" ht="20.25">
      <c r="A4" s="22">
        <v>3</v>
      </c>
      <c r="B4" s="23" t="s">
        <v>30</v>
      </c>
      <c r="C4" s="49">
        <v>190000</v>
      </c>
    </row>
    <row r="5" spans="1:3" ht="20.25">
      <c r="A5" s="22">
        <v>4</v>
      </c>
      <c r="B5" s="23" t="s">
        <v>31</v>
      </c>
      <c r="C5" s="49">
        <f>14000*12</f>
        <v>168000</v>
      </c>
    </row>
    <row r="6" spans="1:3" ht="20.25">
      <c r="A6" s="22">
        <v>5</v>
      </c>
      <c r="B6" s="23" t="s">
        <v>32</v>
      </c>
      <c r="C6" s="49">
        <f>13000*12</f>
        <v>156000</v>
      </c>
    </row>
    <row r="7" spans="1:3" ht="20.25">
      <c r="A7" s="22">
        <v>6</v>
      </c>
      <c r="B7" s="23" t="s">
        <v>33</v>
      </c>
      <c r="C7" s="49">
        <f>13*143000</f>
        <v>1859000</v>
      </c>
    </row>
    <row r="8" spans="1:3" ht="20.25">
      <c r="A8" s="22">
        <v>7</v>
      </c>
      <c r="B8" s="23" t="s">
        <v>36</v>
      </c>
      <c r="C8" s="49">
        <v>400000</v>
      </c>
    </row>
    <row r="9" spans="1:3" ht="20.25">
      <c r="A9" s="22">
        <v>8</v>
      </c>
      <c r="B9" s="23" t="s">
        <v>88</v>
      </c>
      <c r="C9" s="49">
        <f>35000*12</f>
        <v>420000</v>
      </c>
    </row>
    <row r="10" spans="1:3" ht="20.25">
      <c r="A10" s="22">
        <v>9</v>
      </c>
      <c r="B10" s="23" t="s">
        <v>226</v>
      </c>
      <c r="C10" s="49">
        <v>300000</v>
      </c>
    </row>
    <row r="11" spans="1:3" ht="20.25">
      <c r="A11" s="22">
        <v>11</v>
      </c>
      <c r="B11" s="23" t="s">
        <v>35</v>
      </c>
      <c r="C11" s="49">
        <v>200000</v>
      </c>
    </row>
    <row r="12" spans="1:3" ht="20.25">
      <c r="A12" s="22">
        <v>12</v>
      </c>
      <c r="B12" s="23"/>
      <c r="C12" s="49"/>
    </row>
    <row r="13" spans="1:3" ht="20.25">
      <c r="A13" s="22">
        <v>13</v>
      </c>
      <c r="B13" s="26"/>
      <c r="C13" s="49"/>
    </row>
    <row r="14" spans="1:3" ht="20.25">
      <c r="A14" s="22">
        <v>14</v>
      </c>
      <c r="B14" s="26"/>
      <c r="C14" s="49"/>
    </row>
    <row r="15" spans="1:3" ht="20.25">
      <c r="A15" s="22">
        <v>15</v>
      </c>
      <c r="B15" s="26"/>
      <c r="C15" s="49"/>
    </row>
    <row r="16" spans="1:3" ht="20.25">
      <c r="A16" s="22">
        <v>16</v>
      </c>
      <c r="B16" s="26"/>
      <c r="C16" s="49"/>
    </row>
    <row r="17" spans="1:3" ht="21" thickBot="1">
      <c r="A17" s="22">
        <v>17</v>
      </c>
      <c r="B17" s="28"/>
      <c r="C17" s="50"/>
    </row>
  </sheetData>
  <sheetProtection/>
  <protectedRanges>
    <protectedRange sqref="C2:C8 C10:C17" name="Tartom?ny2"/>
    <protectedRange sqref="C9" name="Tartom?ny2_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zoomScalePageLayoutView="0" workbookViewId="0" topLeftCell="E1">
      <selection activeCell="C20" sqref="C20"/>
    </sheetView>
  </sheetViews>
  <sheetFormatPr defaultColWidth="9.140625" defaultRowHeight="12.75"/>
  <cols>
    <col min="1" max="1" width="8.421875" style="81" bestFit="1" customWidth="1"/>
    <col min="2" max="2" width="48.00390625" style="81" customWidth="1"/>
    <col min="3" max="3" width="22.57421875" style="95" customWidth="1"/>
    <col min="4" max="4" width="19.421875" style="81" bestFit="1" customWidth="1"/>
    <col min="5" max="5" width="14.421875" style="81" bestFit="1" customWidth="1"/>
    <col min="6" max="6" width="9.140625" style="81" customWidth="1"/>
    <col min="7" max="7" width="18.8515625" style="81" bestFit="1" customWidth="1"/>
    <col min="8" max="8" width="9.28125" style="81" bestFit="1" customWidth="1"/>
    <col min="9" max="9" width="12.421875" style="81" customWidth="1"/>
    <col min="10" max="10" width="11.421875" style="81" bestFit="1" customWidth="1"/>
    <col min="11" max="12" width="10.8515625" style="81" customWidth="1"/>
    <col min="13" max="16384" width="9.140625" style="81" customWidth="1"/>
  </cols>
  <sheetData>
    <row r="1" spans="1:3" ht="19.5" thickBot="1">
      <c r="A1" s="82" t="s">
        <v>19</v>
      </c>
      <c r="B1" s="83" t="s">
        <v>77</v>
      </c>
      <c r="C1" s="84">
        <f>SUM(C2:C20)</f>
        <v>11592000</v>
      </c>
    </row>
    <row r="2" spans="1:5" ht="18.75">
      <c r="A2" s="85">
        <v>1</v>
      </c>
      <c r="B2" s="86" t="s">
        <v>211</v>
      </c>
      <c r="C2" s="87">
        <f>'Saját forrás'!C7*0.8</f>
        <v>1040000</v>
      </c>
      <c r="D2" s="88"/>
      <c r="E2" s="89"/>
    </row>
    <row r="3" spans="1:5" ht="18.75">
      <c r="A3" s="90">
        <v>2</v>
      </c>
      <c r="B3" s="110" t="s">
        <v>243</v>
      </c>
      <c r="C3" s="87">
        <f>12*3500</f>
        <v>42000</v>
      </c>
      <c r="D3" s="65"/>
      <c r="E3" s="89"/>
    </row>
    <row r="4" spans="1:13" ht="27">
      <c r="A4" s="90">
        <v>3</v>
      </c>
      <c r="B4" s="110" t="s">
        <v>92</v>
      </c>
      <c r="C4" s="87">
        <v>0</v>
      </c>
      <c r="D4" s="65" t="s">
        <v>121</v>
      </c>
      <c r="E4" s="89"/>
      <c r="G4" s="65"/>
      <c r="H4" s="132" t="s">
        <v>135</v>
      </c>
      <c r="I4" s="65" t="s">
        <v>136</v>
      </c>
      <c r="J4" s="65"/>
      <c r="K4" s="137" t="s">
        <v>140</v>
      </c>
      <c r="L4" s="137" t="s">
        <v>224</v>
      </c>
      <c r="M4" s="115" t="s">
        <v>115</v>
      </c>
    </row>
    <row r="5" spans="1:13" ht="18.75">
      <c r="A5" s="90">
        <v>4</v>
      </c>
      <c r="B5" s="110" t="s">
        <v>95</v>
      </c>
      <c r="C5" s="87">
        <f>12*10000</f>
        <v>120000</v>
      </c>
      <c r="D5" s="88"/>
      <c r="E5" s="89"/>
      <c r="G5" s="65" t="s">
        <v>134</v>
      </c>
      <c r="H5" s="134">
        <v>30</v>
      </c>
      <c r="I5" s="115">
        <v>3000</v>
      </c>
      <c r="J5" s="115">
        <f>H5*I5</f>
        <v>90000</v>
      </c>
      <c r="K5" s="115">
        <f>J5*0.63</f>
        <v>56700</v>
      </c>
      <c r="L5" s="115"/>
      <c r="M5" s="115">
        <f>J5-K5</f>
        <v>33300</v>
      </c>
    </row>
    <row r="6" spans="1:13" ht="18.75">
      <c r="A6" s="90">
        <v>5</v>
      </c>
      <c r="B6" s="110" t="s">
        <v>84</v>
      </c>
      <c r="C6" s="87"/>
      <c r="D6" s="100"/>
      <c r="E6" s="100"/>
      <c r="G6" s="133" t="s">
        <v>181</v>
      </c>
      <c r="H6" s="135">
        <v>30</v>
      </c>
      <c r="I6" s="136">
        <v>3000</v>
      </c>
      <c r="J6" s="136">
        <f>H6*I6/2</f>
        <v>45000</v>
      </c>
      <c r="K6" s="136">
        <f>J6*0.63</f>
        <v>28350</v>
      </c>
      <c r="L6" s="136"/>
      <c r="M6" s="136">
        <f>J6-K6</f>
        <v>16650</v>
      </c>
    </row>
    <row r="7" spans="1:13" ht="18.75">
      <c r="A7" s="90">
        <v>6</v>
      </c>
      <c r="B7" s="110" t="s">
        <v>85</v>
      </c>
      <c r="C7" s="87">
        <f>('Egyéb támogatás'!C3)*0.2</f>
        <v>0</v>
      </c>
      <c r="D7" s="100" t="s">
        <v>89</v>
      </c>
      <c r="E7" s="100"/>
      <c r="G7" s="65"/>
      <c r="H7" s="134"/>
      <c r="I7" s="115"/>
      <c r="J7" s="115"/>
      <c r="L7" s="115"/>
      <c r="M7" s="115"/>
    </row>
    <row r="8" spans="1:13" ht="18.75">
      <c r="A8" s="90">
        <v>7</v>
      </c>
      <c r="B8" s="110" t="s">
        <v>26</v>
      </c>
      <c r="C8" s="87">
        <f>('Saját forrás'!C23+'Saját forrás'!C24)*0.8</f>
        <v>2200000</v>
      </c>
      <c r="D8" s="100" t="s">
        <v>105</v>
      </c>
      <c r="E8" s="100"/>
      <c r="G8" s="65"/>
      <c r="H8" s="115"/>
      <c r="I8" s="115"/>
      <c r="J8" s="115">
        <f>SUM(J5:J7)</f>
        <v>135000</v>
      </c>
      <c r="K8" s="115">
        <f>SUM(K5:K7)</f>
        <v>85050</v>
      </c>
      <c r="L8" s="115">
        <f>SUM(L5:L7)</f>
        <v>0</v>
      </c>
      <c r="M8" s="115">
        <f>J8-K8-L8</f>
        <v>49950</v>
      </c>
    </row>
    <row r="9" spans="1:12" ht="18.75">
      <c r="A9" s="90">
        <v>8</v>
      </c>
      <c r="B9" s="110" t="s">
        <v>52</v>
      </c>
      <c r="C9" s="87">
        <v>100000</v>
      </c>
      <c r="D9" s="100"/>
      <c r="E9" s="100"/>
      <c r="G9" s="65"/>
      <c r="H9" s="115"/>
      <c r="I9" s="115"/>
      <c r="J9" s="115"/>
      <c r="K9" s="115"/>
      <c r="L9" s="115"/>
    </row>
    <row r="10" spans="1:12" ht="18.75">
      <c r="A10" s="90">
        <v>9</v>
      </c>
      <c r="B10" s="110" t="s">
        <v>63</v>
      </c>
      <c r="C10" s="87">
        <v>0</v>
      </c>
      <c r="D10" s="65"/>
      <c r="G10" s="65" t="s">
        <v>137</v>
      </c>
      <c r="H10" s="115"/>
      <c r="I10" s="115"/>
      <c r="J10" s="115">
        <f>J8*12</f>
        <v>1620000</v>
      </c>
      <c r="K10" s="115"/>
      <c r="L10" s="115"/>
    </row>
    <row r="11" spans="1:10" ht="18.75">
      <c r="A11" s="90">
        <v>10</v>
      </c>
      <c r="B11" s="110" t="s">
        <v>60</v>
      </c>
      <c r="C11" s="87">
        <v>0</v>
      </c>
      <c r="D11" s="65"/>
      <c r="G11" s="65" t="s">
        <v>138</v>
      </c>
      <c r="J11" s="115">
        <f>(K8+L8)*12</f>
        <v>1020600</v>
      </c>
    </row>
    <row r="12" spans="1:10" ht="18.75">
      <c r="A12" s="90">
        <v>11</v>
      </c>
      <c r="B12" s="110" t="s">
        <v>61</v>
      </c>
      <c r="C12" s="87">
        <v>450000</v>
      </c>
      <c r="G12" s="65" t="s">
        <v>139</v>
      </c>
      <c r="J12" s="115">
        <f>J10-J11</f>
        <v>599400</v>
      </c>
    </row>
    <row r="13" spans="1:10" ht="18.75">
      <c r="A13" s="90">
        <v>12</v>
      </c>
      <c r="B13" s="110" t="s">
        <v>62</v>
      </c>
      <c r="C13" s="87">
        <v>300000</v>
      </c>
      <c r="G13" s="128" t="s">
        <v>182</v>
      </c>
      <c r="H13" s="176"/>
      <c r="I13" s="176"/>
      <c r="J13" s="177">
        <f>M5+M6</f>
        <v>49950</v>
      </c>
    </row>
    <row r="14" spans="1:7" ht="18.75">
      <c r="A14" s="90">
        <v>13</v>
      </c>
      <c r="B14" s="110" t="s">
        <v>126</v>
      </c>
      <c r="C14" s="87"/>
      <c r="D14" s="65"/>
      <c r="E14" s="65"/>
      <c r="G14" s="65"/>
    </row>
    <row r="15" spans="1:7" ht="18.75">
      <c r="A15" s="90"/>
      <c r="B15" s="110" t="s">
        <v>320</v>
      </c>
      <c r="C15" s="87">
        <f>400000*5</f>
        <v>2000000</v>
      </c>
      <c r="D15" s="65"/>
      <c r="E15" s="65"/>
      <c r="G15" s="65"/>
    </row>
    <row r="16" spans="1:5" ht="18.75">
      <c r="A16" s="90">
        <v>14</v>
      </c>
      <c r="B16" s="110" t="s">
        <v>120</v>
      </c>
      <c r="C16" s="87"/>
      <c r="D16" s="65"/>
      <c r="E16" s="65"/>
    </row>
    <row r="17" spans="1:5" ht="18.75">
      <c r="A17" s="90">
        <v>15</v>
      </c>
      <c r="B17" s="110" t="s">
        <v>98</v>
      </c>
      <c r="C17" s="87">
        <f>'Saját forrás'!C5</f>
        <v>2160000</v>
      </c>
      <c r="D17" s="65"/>
      <c r="E17" s="65"/>
    </row>
    <row r="18" spans="1:3" ht="18.75">
      <c r="A18" s="90">
        <v>16</v>
      </c>
      <c r="B18" s="110" t="s">
        <v>244</v>
      </c>
      <c r="C18" s="87">
        <f>J10</f>
        <v>1620000</v>
      </c>
    </row>
    <row r="19" spans="1:7" ht="18.75">
      <c r="A19" s="90">
        <v>17</v>
      </c>
      <c r="B19" s="111" t="s">
        <v>245</v>
      </c>
      <c r="C19" s="91">
        <f>130000*12</f>
        <v>1560000</v>
      </c>
      <c r="D19" s="111"/>
      <c r="G19" s="99"/>
    </row>
    <row r="20" spans="1:3" ht="18.75" thickBot="1">
      <c r="A20" s="92">
        <v>18</v>
      </c>
      <c r="B20" s="93"/>
      <c r="C20" s="94"/>
    </row>
  </sheetData>
  <sheetProtection/>
  <protectedRanges>
    <protectedRange sqref="C19:C20" name="Tartom?ny2"/>
    <protectedRange sqref="C2" name="Tartom?ny2_2"/>
    <protectedRange sqref="C3:C4" name="Tartom?ny2_1_1"/>
    <protectedRange sqref="C11:C13" name="Tartom?ny2_2_1"/>
    <protectedRange sqref="C18" name="Tartom?ny2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5"/>
  <sheetViews>
    <sheetView zoomScale="113" zoomScaleNormal="113" zoomScalePageLayoutView="0" workbookViewId="0" topLeftCell="A1">
      <selection activeCell="P22" sqref="P22:R36"/>
    </sheetView>
  </sheetViews>
  <sheetFormatPr defaultColWidth="9.140625" defaultRowHeight="12.75" outlineLevelRow="1"/>
  <cols>
    <col min="1" max="1" width="8.8515625" style="0" bestFit="1" customWidth="1"/>
    <col min="2" max="2" width="53.57421875" style="0" customWidth="1"/>
    <col min="3" max="3" width="22.8515625" style="0" bestFit="1" customWidth="1"/>
    <col min="4" max="5" width="10.28125" style="0" customWidth="1"/>
    <col min="6" max="6" width="12.57421875" style="0" bestFit="1" customWidth="1"/>
    <col min="7" max="7" width="14.57421875" style="0" customWidth="1"/>
    <col min="8" max="8" width="10.7109375" style="0" customWidth="1"/>
    <col min="9" max="9" width="10.00390625" style="0" customWidth="1"/>
    <col min="10" max="10" width="11.140625" style="0" customWidth="1"/>
    <col min="11" max="11" width="9.57421875" style="0" customWidth="1"/>
    <col min="12" max="13" width="14.140625" style="0" customWidth="1"/>
    <col min="14" max="14" width="13.140625" style="0" customWidth="1"/>
    <col min="15" max="15" width="11.57421875" style="0" customWidth="1"/>
    <col min="16" max="16" width="13.8515625" style="0" bestFit="1" customWidth="1"/>
    <col min="17" max="17" width="8.8515625" style="0" bestFit="1" customWidth="1"/>
  </cols>
  <sheetData>
    <row r="1" spans="1:3" ht="21" thickBot="1">
      <c r="A1" s="30" t="s">
        <v>19</v>
      </c>
      <c r="B1" s="31" t="s">
        <v>127</v>
      </c>
      <c r="C1" s="32">
        <f>SUM(C2:C19)</f>
        <v>21078000</v>
      </c>
    </row>
    <row r="2" spans="1:8" ht="20.25">
      <c r="A2" s="19">
        <v>1</v>
      </c>
      <c r="B2" s="20" t="s">
        <v>37</v>
      </c>
      <c r="C2" s="21">
        <v>12600000</v>
      </c>
      <c r="H2">
        <f>500000*0.79</f>
        <v>395000</v>
      </c>
    </row>
    <row r="3" spans="1:8" ht="20.25">
      <c r="A3" s="22">
        <v>2</v>
      </c>
      <c r="B3" s="23" t="s">
        <v>38</v>
      </c>
      <c r="C3" s="24">
        <v>2142000</v>
      </c>
      <c r="H3">
        <f>H2*0.7</f>
        <v>276500</v>
      </c>
    </row>
    <row r="4" spans="1:3" ht="20.25">
      <c r="A4" s="22">
        <v>3</v>
      </c>
      <c r="B4" s="23" t="s">
        <v>104</v>
      </c>
      <c r="C4" s="24">
        <v>6336000</v>
      </c>
    </row>
    <row r="5" spans="1:3" ht="20.25">
      <c r="A5" s="22">
        <v>5</v>
      </c>
      <c r="B5" s="23" t="s">
        <v>272</v>
      </c>
      <c r="C5" s="24"/>
    </row>
    <row r="6" spans="1:3" ht="21" thickBot="1">
      <c r="A6" s="22">
        <v>6</v>
      </c>
      <c r="B6" s="23" t="s">
        <v>106</v>
      </c>
      <c r="C6" s="24">
        <f>M50</f>
        <v>0</v>
      </c>
    </row>
    <row r="7" spans="1:11" ht="21" thickBot="1">
      <c r="A7" s="22">
        <v>7</v>
      </c>
      <c r="G7" s="283">
        <v>182000</v>
      </c>
      <c r="H7" s="269"/>
      <c r="I7" s="270">
        <v>0</v>
      </c>
      <c r="J7" s="268" t="s">
        <v>293</v>
      </c>
      <c r="K7" s="284"/>
    </row>
    <row r="8" spans="1:11" ht="21" thickBot="1">
      <c r="A8" s="22">
        <v>8</v>
      </c>
      <c r="G8" s="271" t="s">
        <v>274</v>
      </c>
      <c r="H8" s="265">
        <v>182000</v>
      </c>
      <c r="I8" s="264" t="s">
        <v>275</v>
      </c>
      <c r="J8" s="266">
        <v>0</v>
      </c>
      <c r="K8" s="272" t="s">
        <v>293</v>
      </c>
    </row>
    <row r="9" spans="1:11" ht="21" thickBot="1">
      <c r="A9" s="22">
        <v>9</v>
      </c>
      <c r="G9" s="273" t="s">
        <v>276</v>
      </c>
      <c r="H9" s="261">
        <v>27300</v>
      </c>
      <c r="I9" s="262" t="s">
        <v>277</v>
      </c>
      <c r="J9" s="263">
        <v>0</v>
      </c>
      <c r="K9" s="274" t="s">
        <v>294</v>
      </c>
    </row>
    <row r="10" spans="1:12" ht="21" thickBot="1">
      <c r="A10" s="22">
        <v>10</v>
      </c>
      <c r="B10" s="26"/>
      <c r="C10" s="24"/>
      <c r="G10" s="271" t="s">
        <v>278</v>
      </c>
      <c r="H10" s="265">
        <v>7280</v>
      </c>
      <c r="I10" s="264" t="s">
        <v>279</v>
      </c>
      <c r="J10" s="266" t="s">
        <v>295</v>
      </c>
      <c r="K10" s="272" t="s">
        <v>296</v>
      </c>
      <c r="L10">
        <f>H10</f>
        <v>7280</v>
      </c>
    </row>
    <row r="11" spans="1:12" ht="21" thickBot="1">
      <c r="A11" s="22">
        <v>11</v>
      </c>
      <c r="B11" s="26"/>
      <c r="C11" s="24"/>
      <c r="G11" s="273" t="s">
        <v>280</v>
      </c>
      <c r="H11" s="261">
        <v>5460</v>
      </c>
      <c r="I11" s="262" t="s">
        <v>281</v>
      </c>
      <c r="J11" s="263" t="s">
        <v>297</v>
      </c>
      <c r="K11" s="274" t="s">
        <v>298</v>
      </c>
      <c r="L11">
        <f>H11</f>
        <v>5460</v>
      </c>
    </row>
    <row r="12" spans="1:12" ht="21" thickBot="1">
      <c r="A12" s="22">
        <v>12</v>
      </c>
      <c r="B12" s="26"/>
      <c r="C12" s="24"/>
      <c r="G12" s="271" t="s">
        <v>282</v>
      </c>
      <c r="H12" s="265">
        <v>18200</v>
      </c>
      <c r="I12" s="264" t="s">
        <v>283</v>
      </c>
      <c r="J12" s="266" t="s">
        <v>299</v>
      </c>
      <c r="K12" s="272" t="s">
        <v>300</v>
      </c>
      <c r="L12">
        <f>H12</f>
        <v>18200</v>
      </c>
    </row>
    <row r="13" spans="1:12" ht="21" thickBot="1">
      <c r="A13" s="22">
        <v>13</v>
      </c>
      <c r="B13" s="26"/>
      <c r="C13" s="24"/>
      <c r="G13" s="273" t="s">
        <v>284</v>
      </c>
      <c r="H13" s="261">
        <v>2730</v>
      </c>
      <c r="I13" s="262"/>
      <c r="J13" s="263">
        <v>0</v>
      </c>
      <c r="K13" s="274" t="s">
        <v>301</v>
      </c>
      <c r="L13">
        <f>H13</f>
        <v>2730</v>
      </c>
    </row>
    <row r="14" spans="1:14" ht="21" thickBot="1">
      <c r="A14" s="22">
        <v>14</v>
      </c>
      <c r="B14" s="26"/>
      <c r="C14" s="24"/>
      <c r="G14" s="275" t="s">
        <v>285</v>
      </c>
      <c r="H14" s="265">
        <v>121030</v>
      </c>
      <c r="I14" s="267" t="s">
        <v>286</v>
      </c>
      <c r="J14" s="266">
        <v>0</v>
      </c>
      <c r="K14" s="272" t="s">
        <v>302</v>
      </c>
      <c r="L14" s="281">
        <f>SUM(L10:L13)</f>
        <v>33670</v>
      </c>
      <c r="M14" s="281"/>
      <c r="N14">
        <f>L14/H8</f>
        <v>0.185</v>
      </c>
    </row>
    <row r="15" spans="1:13" ht="21" thickBot="1">
      <c r="A15" s="22">
        <v>15</v>
      </c>
      <c r="B15" s="26"/>
      <c r="C15" s="24"/>
      <c r="G15" s="273" t="s">
        <v>287</v>
      </c>
      <c r="H15" s="261">
        <v>35490</v>
      </c>
      <c r="I15" s="262"/>
      <c r="J15" s="263">
        <v>0</v>
      </c>
      <c r="K15" s="274" t="s">
        <v>303</v>
      </c>
      <c r="L15" s="282">
        <f>H15</f>
        <v>35490</v>
      </c>
      <c r="M15" s="282"/>
    </row>
    <row r="16" spans="1:13" ht="21" thickBot="1">
      <c r="A16" s="22">
        <v>16</v>
      </c>
      <c r="B16" s="26"/>
      <c r="C16" s="24"/>
      <c r="G16" s="271" t="s">
        <v>288</v>
      </c>
      <c r="H16" s="265">
        <v>2730</v>
      </c>
      <c r="I16" s="264"/>
      <c r="J16" s="266">
        <v>0</v>
      </c>
      <c r="K16" s="272" t="s">
        <v>301</v>
      </c>
      <c r="L16" s="282">
        <f>H16</f>
        <v>2730</v>
      </c>
      <c r="M16" s="282"/>
    </row>
    <row r="17" spans="1:14" ht="21" thickBot="1">
      <c r="A17" s="22">
        <v>17</v>
      </c>
      <c r="B17" s="26"/>
      <c r="C17" s="24"/>
      <c r="G17" s="276" t="s">
        <v>289</v>
      </c>
      <c r="H17" s="261">
        <v>220220</v>
      </c>
      <c r="I17" s="260"/>
      <c r="J17" s="263">
        <v>0</v>
      </c>
      <c r="K17" s="274" t="s">
        <v>304</v>
      </c>
      <c r="L17">
        <f>SUM(L15:L16)</f>
        <v>38220</v>
      </c>
      <c r="N17">
        <f>L17/H8</f>
        <v>0.21</v>
      </c>
    </row>
    <row r="18" spans="1:11" ht="21" thickBot="1">
      <c r="A18" s="22">
        <v>18</v>
      </c>
      <c r="B18" s="26"/>
      <c r="C18" s="24"/>
      <c r="G18" s="277" t="s">
        <v>290</v>
      </c>
      <c r="H18" s="278">
        <v>0.5496</v>
      </c>
      <c r="I18" s="279"/>
      <c r="J18" s="279"/>
      <c r="K18" s="280"/>
    </row>
    <row r="19" spans="1:3" ht="21" thickBot="1">
      <c r="A19" s="27">
        <v>19</v>
      </c>
      <c r="B19" s="28"/>
      <c r="C19" s="29"/>
    </row>
    <row r="21" spans="2:15" ht="12.75" outlineLevel="1">
      <c r="B21" s="42"/>
      <c r="C21" s="42"/>
      <c r="D21" s="42"/>
      <c r="E21" s="42"/>
      <c r="F21" s="42"/>
      <c r="G21" s="42"/>
      <c r="H21" s="127">
        <v>0.335</v>
      </c>
      <c r="I21" s="43">
        <v>0.21</v>
      </c>
      <c r="J21" s="43"/>
      <c r="K21" s="42"/>
      <c r="L21" s="42"/>
      <c r="M21" s="42"/>
      <c r="N21" s="42"/>
      <c r="O21" s="42"/>
    </row>
    <row r="22" spans="2:17" ht="25.5" outlineLevel="1">
      <c r="B22" s="117" t="s">
        <v>64</v>
      </c>
      <c r="C22" s="44"/>
      <c r="D22" s="114" t="s">
        <v>141</v>
      </c>
      <c r="E22" s="44"/>
      <c r="F22" s="44" t="s">
        <v>272</v>
      </c>
      <c r="G22" s="44" t="s">
        <v>65</v>
      </c>
      <c r="H22" s="114" t="s">
        <v>291</v>
      </c>
      <c r="I22" s="114" t="s">
        <v>292</v>
      </c>
      <c r="J22" s="114" t="s">
        <v>305</v>
      </c>
      <c r="K22" s="44" t="s">
        <v>66</v>
      </c>
      <c r="L22" s="114" t="s">
        <v>372</v>
      </c>
      <c r="M22" s="114" t="s">
        <v>371</v>
      </c>
      <c r="N22" s="114" t="s">
        <v>102</v>
      </c>
      <c r="O22" s="44"/>
      <c r="P22" s="44"/>
      <c r="Q22" s="44"/>
    </row>
    <row r="23" spans="2:15" ht="12.75" outlineLevel="1"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6" ht="12.75" outlineLevel="1">
      <c r="A24">
        <v>1</v>
      </c>
      <c r="B24" s="42" t="s">
        <v>67</v>
      </c>
      <c r="C24" s="43">
        <v>1</v>
      </c>
      <c r="D24" s="42"/>
      <c r="E24" s="115" t="s">
        <v>232</v>
      </c>
      <c r="F24" s="43"/>
      <c r="G24" s="42"/>
      <c r="H24" s="42">
        <f>D24*F24</f>
        <v>0</v>
      </c>
      <c r="I24" s="42">
        <f>D24*$I$21</f>
        <v>0</v>
      </c>
      <c r="J24" s="42">
        <f>133000+90000+14000</f>
        <v>237000</v>
      </c>
      <c r="K24" s="42">
        <f aca="true" t="shared" si="0" ref="K24:K29">D24-H24</f>
        <v>0</v>
      </c>
      <c r="L24" s="202">
        <f>K24+F24+G24</f>
        <v>0</v>
      </c>
      <c r="M24" s="42"/>
      <c r="N24" s="42">
        <f aca="true" t="shared" si="1" ref="N24:N29">D24+G24+F24+I24</f>
        <v>0</v>
      </c>
      <c r="O24" s="42">
        <f aca="true" t="shared" si="2" ref="O24:O29">N24*12</f>
        <v>0</v>
      </c>
      <c r="P24" s="203"/>
    </row>
    <row r="25" spans="1:16" ht="12.75" outlineLevel="1">
      <c r="A25">
        <v>2</v>
      </c>
      <c r="B25" s="42" t="s">
        <v>128</v>
      </c>
      <c r="C25" s="175">
        <v>0.5</v>
      </c>
      <c r="D25" s="42"/>
      <c r="E25" s="115" t="s">
        <v>387</v>
      </c>
      <c r="F25" s="42"/>
      <c r="G25" s="42"/>
      <c r="H25" s="42">
        <f>D25*$H$21</f>
        <v>0</v>
      </c>
      <c r="I25" s="42">
        <f>D25*$I$21</f>
        <v>0</v>
      </c>
      <c r="J25" s="42"/>
      <c r="K25" s="42">
        <f>D25-H25</f>
        <v>0</v>
      </c>
      <c r="L25" s="202">
        <f>K25+F25+G25</f>
        <v>0</v>
      </c>
      <c r="M25" s="42"/>
      <c r="N25" s="42">
        <f t="shared" si="1"/>
        <v>0</v>
      </c>
      <c r="O25" s="42">
        <f t="shared" si="2"/>
        <v>0</v>
      </c>
      <c r="P25" s="203"/>
    </row>
    <row r="26" spans="1:16" ht="12" customHeight="1" outlineLevel="1">
      <c r="A26">
        <v>3</v>
      </c>
      <c r="B26" s="115" t="s">
        <v>207</v>
      </c>
      <c r="C26" s="43">
        <v>0.5</v>
      </c>
      <c r="D26" s="42"/>
      <c r="E26" s="115" t="s">
        <v>233</v>
      </c>
      <c r="F26" s="42"/>
      <c r="G26" s="42"/>
      <c r="H26" s="42"/>
      <c r="I26" s="42"/>
      <c r="J26" s="42">
        <f>85000*0.665+65000</f>
        <v>121525</v>
      </c>
      <c r="K26" s="42">
        <f>(D26-H26)*C26</f>
        <v>0</v>
      </c>
      <c r="L26" s="202"/>
      <c r="M26" s="42"/>
      <c r="N26" s="42">
        <f t="shared" si="1"/>
        <v>0</v>
      </c>
      <c r="O26" s="42">
        <f t="shared" si="2"/>
        <v>0</v>
      </c>
      <c r="P26" s="203"/>
    </row>
    <row r="27" spans="1:16" ht="12.75" outlineLevel="1">
      <c r="A27">
        <v>4</v>
      </c>
      <c r="B27" s="115" t="s">
        <v>273</v>
      </c>
      <c r="C27" s="43">
        <v>1</v>
      </c>
      <c r="D27" s="42"/>
      <c r="E27" s="115" t="s">
        <v>234</v>
      </c>
      <c r="F27" s="42"/>
      <c r="G27" s="42"/>
      <c r="H27" s="42">
        <f>D27*$H$21</f>
        <v>0</v>
      </c>
      <c r="I27" s="42">
        <f>D27*$I$21</f>
        <v>0</v>
      </c>
      <c r="J27" s="42">
        <f>80000*0.665+65000</f>
        <v>118200</v>
      </c>
      <c r="K27" s="42">
        <f>D27-H27</f>
        <v>0</v>
      </c>
      <c r="L27" s="202">
        <f>K27+F27+G27</f>
        <v>0</v>
      </c>
      <c r="M27" s="42"/>
      <c r="N27" s="42">
        <f t="shared" si="1"/>
        <v>0</v>
      </c>
      <c r="O27" s="42">
        <f t="shared" si="2"/>
        <v>0</v>
      </c>
      <c r="P27" s="203"/>
    </row>
    <row r="28" spans="1:16" ht="12.75" outlineLevel="1">
      <c r="A28">
        <v>5</v>
      </c>
      <c r="B28" s="115" t="s">
        <v>129</v>
      </c>
      <c r="C28" s="43">
        <v>1</v>
      </c>
      <c r="D28" s="42"/>
      <c r="E28" s="115" t="s">
        <v>370</v>
      </c>
      <c r="F28" s="42"/>
      <c r="G28" s="42"/>
      <c r="H28" s="42">
        <f>D28*$H$21</f>
        <v>0</v>
      </c>
      <c r="I28" s="42">
        <f>D28*$I$21</f>
        <v>0</v>
      </c>
      <c r="J28" s="42"/>
      <c r="K28" s="42">
        <f t="shared" si="0"/>
        <v>0</v>
      </c>
      <c r="L28" s="202">
        <f>K28+F28+G28</f>
        <v>0</v>
      </c>
      <c r="M28" s="42"/>
      <c r="N28" s="42">
        <f t="shared" si="1"/>
        <v>0</v>
      </c>
      <c r="O28" s="42">
        <f t="shared" si="2"/>
        <v>0</v>
      </c>
      <c r="P28" s="203"/>
    </row>
    <row r="29" spans="1:16" ht="12.75" outlineLevel="1">
      <c r="A29">
        <v>6</v>
      </c>
      <c r="B29" s="115" t="s">
        <v>124</v>
      </c>
      <c r="C29" s="175">
        <v>1</v>
      </c>
      <c r="D29" s="42"/>
      <c r="E29" s="115" t="s">
        <v>235</v>
      </c>
      <c r="F29" s="42"/>
      <c r="G29" s="42"/>
      <c r="H29" s="42">
        <f>D29*$H$21</f>
        <v>0</v>
      </c>
      <c r="I29" s="42">
        <f>D29*$I$21</f>
        <v>0</v>
      </c>
      <c r="J29" s="42">
        <f>180000*0.665+H37</f>
        <v>119700</v>
      </c>
      <c r="K29" s="42">
        <f t="shared" si="0"/>
        <v>0</v>
      </c>
      <c r="L29" s="202">
        <f>K29+F29+G29</f>
        <v>0</v>
      </c>
      <c r="M29" s="42"/>
      <c r="N29" s="42">
        <f t="shared" si="1"/>
        <v>0</v>
      </c>
      <c r="O29" s="42">
        <f t="shared" si="2"/>
        <v>0</v>
      </c>
      <c r="P29" s="203"/>
    </row>
    <row r="30" spans="2:15" ht="13.5" outlineLevel="1" thickBot="1">
      <c r="B30" s="45" t="s">
        <v>68</v>
      </c>
      <c r="C30" s="45"/>
      <c r="D30" s="45"/>
      <c r="E30" s="45"/>
      <c r="F30" s="45">
        <f aca="true" t="shared" si="3" ref="F30:L30">SUM(F24:F29)</f>
        <v>0</v>
      </c>
      <c r="G30" s="45"/>
      <c r="H30" s="45">
        <f t="shared" si="3"/>
        <v>0</v>
      </c>
      <c r="I30" s="45">
        <f>SUM(I24:I29)</f>
        <v>0</v>
      </c>
      <c r="J30" s="45">
        <f>SUM(J24:J29)</f>
        <v>596425</v>
      </c>
      <c r="K30" s="45">
        <f t="shared" si="3"/>
        <v>0</v>
      </c>
      <c r="L30" s="45">
        <f t="shared" si="3"/>
        <v>0</v>
      </c>
      <c r="M30" s="45"/>
      <c r="N30" s="45">
        <f>SUM(N24:N29)</f>
        <v>0</v>
      </c>
      <c r="O30" s="42"/>
    </row>
    <row r="31" spans="2:17" ht="12.75" outlineLevel="1">
      <c r="B31" s="42" t="s">
        <v>69</v>
      </c>
      <c r="C31" s="42"/>
      <c r="D31" s="42">
        <f>D30*12</f>
        <v>0</v>
      </c>
      <c r="E31" s="42"/>
      <c r="F31" s="42">
        <f aca="true" t="shared" si="4" ref="F31:L31">F30*12</f>
        <v>0</v>
      </c>
      <c r="G31" s="42">
        <f t="shared" si="4"/>
        <v>0</v>
      </c>
      <c r="H31" s="42">
        <f t="shared" si="4"/>
        <v>0</v>
      </c>
      <c r="I31" s="42">
        <f>I30*12</f>
        <v>0</v>
      </c>
      <c r="J31" s="42">
        <f>J30*12</f>
        <v>7157100</v>
      </c>
      <c r="K31" s="42">
        <f t="shared" si="4"/>
        <v>0</v>
      </c>
      <c r="L31" s="42">
        <f t="shared" si="4"/>
        <v>0</v>
      </c>
      <c r="M31" s="42"/>
      <c r="N31" s="42">
        <f>N30*12</f>
        <v>0</v>
      </c>
      <c r="O31" s="42">
        <f>SUM(O24:O29)</f>
        <v>0</v>
      </c>
      <c r="Q31" s="42"/>
    </row>
    <row r="32" spans="2:15" ht="12.75" outlineLevel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5" ht="12.75" outlineLevel="1">
      <c r="B33" s="42"/>
      <c r="C33" s="42"/>
      <c r="D33" s="42"/>
      <c r="E33" s="42"/>
      <c r="F33" s="42"/>
      <c r="G33" s="42"/>
      <c r="H33" s="42"/>
      <c r="I33" s="42"/>
      <c r="J33" s="42"/>
      <c r="K33" s="115"/>
      <c r="L33" s="42"/>
      <c r="M33" s="42"/>
      <c r="N33" s="42"/>
      <c r="O33" s="42"/>
    </row>
    <row r="34" spans="2:15" ht="12.75" outlineLevel="1">
      <c r="B34" s="100" t="s">
        <v>106</v>
      </c>
      <c r="C34" s="42"/>
      <c r="D34" s="44"/>
      <c r="E34" s="44"/>
      <c r="F34" s="114"/>
      <c r="G34" s="114"/>
      <c r="H34" s="42"/>
      <c r="I34" s="44"/>
      <c r="J34" s="44"/>
      <c r="K34" s="115"/>
      <c r="L34" s="42"/>
      <c r="M34" s="42"/>
      <c r="N34" s="44"/>
      <c r="O34" s="42"/>
    </row>
    <row r="35" spans="2:16" ht="12.75" outlineLevel="1">
      <c r="B35" s="42" t="s">
        <v>128</v>
      </c>
      <c r="C35" s="42"/>
      <c r="D35" s="42"/>
      <c r="E35" s="42"/>
      <c r="F35" s="42"/>
      <c r="G35" s="42"/>
      <c r="H35" s="42"/>
      <c r="I35" s="42"/>
      <c r="K35" s="115"/>
      <c r="L35" s="42"/>
      <c r="M35" s="42"/>
      <c r="N35" s="42"/>
      <c r="O35" s="42"/>
      <c r="P35" s="203"/>
    </row>
    <row r="36" spans="2:15" ht="12.75" outlineLevel="1">
      <c r="B36" s="42" t="s">
        <v>70</v>
      </c>
      <c r="C36" s="42"/>
      <c r="D36" s="42"/>
      <c r="E36" s="42"/>
      <c r="F36" s="115"/>
      <c r="G36" s="42"/>
      <c r="H36" s="42"/>
      <c r="I36" s="42"/>
      <c r="J36" s="42"/>
      <c r="K36" s="115"/>
      <c r="L36" s="42"/>
      <c r="M36" s="42"/>
      <c r="N36" s="42"/>
      <c r="O36" s="42"/>
    </row>
    <row r="37" spans="2:15" ht="12.75" outlineLevel="1">
      <c r="B37" s="42"/>
      <c r="C37" s="42"/>
      <c r="D37" s="42"/>
      <c r="E37" s="42"/>
      <c r="F37" s="42"/>
      <c r="G37" s="42"/>
      <c r="H37" s="42"/>
      <c r="I37" s="42"/>
      <c r="J37" s="42"/>
      <c r="K37" s="115"/>
      <c r="L37" s="42"/>
      <c r="M37" s="42"/>
      <c r="N37" s="42"/>
      <c r="O37" s="42"/>
    </row>
    <row r="38" spans="2:15" ht="12.75" outlineLevel="1">
      <c r="B38" s="115" t="s">
        <v>103</v>
      </c>
      <c r="C38" s="42"/>
      <c r="D38" s="42"/>
      <c r="E38" s="42"/>
      <c r="F38" s="42"/>
      <c r="G38" s="42"/>
      <c r="H38" s="42"/>
      <c r="I38" s="42"/>
      <c r="J38" s="42"/>
      <c r="K38" s="115"/>
      <c r="L38" s="42"/>
      <c r="M38" s="42"/>
      <c r="N38" s="42"/>
      <c r="O38" s="42"/>
    </row>
    <row r="39" spans="2:15" ht="12.75" outlineLevel="1">
      <c r="B39" s="115" t="s">
        <v>114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2:15" ht="12.75" outlineLevel="1">
      <c r="B40" s="42"/>
      <c r="C40" s="42"/>
      <c r="D40" s="42"/>
      <c r="E40" s="42"/>
      <c r="F40" s="42"/>
      <c r="G40" s="42"/>
      <c r="H40" s="115" t="s">
        <v>306</v>
      </c>
      <c r="I40" s="42"/>
      <c r="J40" s="42"/>
      <c r="K40" s="42"/>
      <c r="L40" s="42"/>
      <c r="M40" s="42"/>
      <c r="N40" s="42"/>
      <c r="O40" s="42"/>
    </row>
    <row r="41" spans="2:15" ht="12.75" outlineLevel="1">
      <c r="B41" s="42" t="s">
        <v>71</v>
      </c>
      <c r="C41" s="42"/>
      <c r="D41" s="115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2:15" ht="12.75" outlineLevel="1">
      <c r="B42" s="115" t="s">
        <v>247</v>
      </c>
      <c r="C42" s="42"/>
      <c r="D42" s="115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5" ht="12.75" outlineLevel="1">
      <c r="B43" s="42" t="s">
        <v>74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 ht="12.75" outlineLevel="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2:15" ht="12.75" outlineLevel="1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 ht="12.75" outlineLevel="1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2:15" ht="12.75" outlineLevel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 ht="13.5" outlineLevel="1" thickBot="1"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>
        <f>SUM(M35:M42)</f>
        <v>0</v>
      </c>
      <c r="N48" s="45"/>
      <c r="O48" s="42"/>
    </row>
    <row r="49" spans="2:15" ht="12.75" outlineLevel="1">
      <c r="B49" s="46" t="s">
        <v>72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5" ht="12.75" outlineLevel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>
        <f>M48*12</f>
        <v>0</v>
      </c>
      <c r="N50" s="42"/>
      <c r="O50" s="42"/>
    </row>
    <row r="52" ht="12.75">
      <c r="F52" s="42"/>
    </row>
    <row r="55" spans="8:10" ht="12.75">
      <c r="H55">
        <v>570000000</v>
      </c>
      <c r="I55" s="43">
        <v>0.02</v>
      </c>
      <c r="J55">
        <f>H55*I55</f>
        <v>11400000</v>
      </c>
    </row>
  </sheetData>
  <sheetProtection/>
  <protectedRanges>
    <protectedRange sqref="C10:C19 C2:C3" name="Tartom?ny2"/>
  </protectedRange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I6"/>
  <sheetViews>
    <sheetView zoomScalePageLayoutView="0" workbookViewId="0" topLeftCell="A1">
      <selection activeCell="G13" sqref="G13"/>
    </sheetView>
  </sheetViews>
  <sheetFormatPr defaultColWidth="9.140625" defaultRowHeight="12.75"/>
  <cols>
    <col min="7" max="7" width="11.140625" style="0" customWidth="1"/>
  </cols>
  <sheetData>
    <row r="1" ht="12.75">
      <c r="B1" s="483" t="s">
        <v>391</v>
      </c>
    </row>
    <row r="2" spans="5:7" ht="12.75">
      <c r="E2" s="65" t="s">
        <v>388</v>
      </c>
      <c r="F2" s="65" t="s">
        <v>389</v>
      </c>
      <c r="G2" s="65" t="s">
        <v>390</v>
      </c>
    </row>
    <row r="3" spans="2:9" ht="12.75">
      <c r="B3" s="65" t="s">
        <v>386</v>
      </c>
      <c r="D3" s="57">
        <v>0.5</v>
      </c>
      <c r="E3" s="42">
        <v>400000</v>
      </c>
      <c r="F3" s="42">
        <f>E3*0.55</f>
        <v>220000.00000000003</v>
      </c>
      <c r="G3" s="42">
        <f>SUM(E3:F3)</f>
        <v>620000</v>
      </c>
      <c r="H3" s="42"/>
      <c r="I3" s="42"/>
    </row>
    <row r="4" spans="5:9" ht="12.75">
      <c r="E4" s="42"/>
      <c r="F4" s="42"/>
      <c r="G4" s="42"/>
      <c r="H4" s="42"/>
      <c r="I4" s="42"/>
    </row>
    <row r="5" spans="4:9" ht="12.75">
      <c r="D5" s="65" t="s">
        <v>392</v>
      </c>
      <c r="E5" s="42"/>
      <c r="F5" s="42"/>
      <c r="G5" s="42">
        <f>G3*12</f>
        <v>7440000</v>
      </c>
      <c r="H5" s="42"/>
      <c r="I5" s="42"/>
    </row>
    <row r="6" spans="4:7" ht="12.75">
      <c r="D6" s="65" t="s">
        <v>393</v>
      </c>
      <c r="G6" s="42">
        <f>G5</f>
        <v>7440000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41.00390625" style="0" bestFit="1" customWidth="1"/>
    <col min="3" max="3" width="19.00390625" style="42" customWidth="1"/>
  </cols>
  <sheetData>
    <row r="1" spans="1:3" ht="21" thickBot="1">
      <c r="A1" s="30" t="s">
        <v>19</v>
      </c>
      <c r="B1" s="53" t="s">
        <v>9</v>
      </c>
      <c r="C1" s="54">
        <f>SUM(C2:C18)</f>
        <v>2723000</v>
      </c>
    </row>
    <row r="2" spans="1:3" ht="20.25">
      <c r="A2" s="19">
        <v>1</v>
      </c>
      <c r="B2" s="20" t="s">
        <v>123</v>
      </c>
      <c r="C2" s="48">
        <v>293000</v>
      </c>
    </row>
    <row r="3" spans="1:3" ht="20.25">
      <c r="A3" s="22">
        <v>2</v>
      </c>
      <c r="B3" s="23" t="s">
        <v>39</v>
      </c>
      <c r="C3" s="49">
        <f>100*320</f>
        <v>32000</v>
      </c>
    </row>
    <row r="4" spans="1:3" ht="25.5" customHeight="1">
      <c r="A4" s="22">
        <v>3</v>
      </c>
      <c r="B4" s="26" t="s">
        <v>97</v>
      </c>
      <c r="C4" s="49">
        <f>400*320</f>
        <v>128000</v>
      </c>
    </row>
    <row r="5" spans="1:3" ht="20.25">
      <c r="A5" s="22">
        <v>6</v>
      </c>
      <c r="B5" s="26" t="s">
        <v>40</v>
      </c>
      <c r="C5" s="49">
        <v>200000</v>
      </c>
    </row>
    <row r="6" spans="1:3" ht="20.25">
      <c r="A6" s="22">
        <v>7</v>
      </c>
      <c r="B6" s="26" t="s">
        <v>307</v>
      </c>
      <c r="C6" s="49">
        <v>90000</v>
      </c>
    </row>
    <row r="7" spans="1:3" ht="20.25">
      <c r="A7" s="22">
        <v>8</v>
      </c>
      <c r="B7" s="26" t="s">
        <v>223</v>
      </c>
      <c r="C7" s="49">
        <f>'Saját forrás'!C4</f>
        <v>1980000</v>
      </c>
    </row>
    <row r="8" spans="1:3" ht="20.25">
      <c r="A8" s="22">
        <v>9</v>
      </c>
      <c r="B8" s="26"/>
      <c r="C8" s="49"/>
    </row>
    <row r="9" spans="1:3" ht="20.25">
      <c r="A9" s="22">
        <v>10</v>
      </c>
      <c r="B9" s="26"/>
      <c r="C9" s="49"/>
    </row>
    <row r="10" spans="1:3" ht="20.25">
      <c r="A10" s="22">
        <v>11</v>
      </c>
      <c r="B10" s="26"/>
      <c r="C10" s="49"/>
    </row>
    <row r="11" spans="1:3" ht="20.25">
      <c r="A11" s="22">
        <v>12</v>
      </c>
      <c r="B11" s="26"/>
      <c r="C11" s="49"/>
    </row>
    <row r="12" spans="1:3" ht="20.25">
      <c r="A12" s="22">
        <v>13</v>
      </c>
      <c r="B12" s="26"/>
      <c r="C12" s="49"/>
    </row>
    <row r="13" spans="1:3" ht="20.25">
      <c r="A13" s="22">
        <v>14</v>
      </c>
      <c r="B13" s="26"/>
      <c r="C13" s="49"/>
    </row>
    <row r="14" spans="1:3" ht="20.25">
      <c r="A14" s="22">
        <v>15</v>
      </c>
      <c r="B14" s="26"/>
      <c r="C14" s="49"/>
    </row>
    <row r="15" spans="1:3" ht="20.25">
      <c r="A15" s="22">
        <v>16</v>
      </c>
      <c r="B15" s="26"/>
      <c r="C15" s="49"/>
    </row>
    <row r="16" spans="1:3" ht="20.25">
      <c r="A16" s="22">
        <v>17</v>
      </c>
      <c r="B16" s="26"/>
      <c r="C16" s="49"/>
    </row>
    <row r="17" spans="1:3" ht="20.25">
      <c r="A17" s="22">
        <v>18</v>
      </c>
      <c r="B17" s="26"/>
      <c r="C17" s="49"/>
    </row>
    <row r="18" spans="1:3" ht="21" thickBot="1">
      <c r="A18" s="27">
        <v>19</v>
      </c>
      <c r="B18" s="28"/>
      <c r="C18" s="50"/>
    </row>
  </sheetData>
  <sheetProtection/>
  <protectedRanges>
    <protectedRange sqref="C2:C5 C7:C18" name="Tartom?ny2"/>
  </protectedRange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47.7109375" style="0" customWidth="1"/>
    <col min="3" max="3" width="20.7109375" style="42" customWidth="1"/>
  </cols>
  <sheetData>
    <row r="1" spans="1:3" ht="21" thickBot="1">
      <c r="A1" s="30" t="s">
        <v>19</v>
      </c>
      <c r="B1" s="31" t="s">
        <v>78</v>
      </c>
      <c r="C1" s="47">
        <f>SUM(C2:C18)</f>
        <v>2250000</v>
      </c>
    </row>
    <row r="2" spans="1:11" ht="20.25">
      <c r="A2" s="19">
        <v>1</v>
      </c>
      <c r="B2" s="213" t="s">
        <v>252</v>
      </c>
      <c r="C2" s="24">
        <f>(100000)*12</f>
        <v>1200000</v>
      </c>
      <c r="D2" s="1"/>
      <c r="E2" s="1"/>
      <c r="F2" s="1"/>
      <c r="G2" s="1"/>
      <c r="H2" s="1"/>
      <c r="I2" s="1"/>
      <c r="J2" s="1"/>
      <c r="K2" s="1"/>
    </row>
    <row r="3" spans="1:11" ht="20.25">
      <c r="A3" s="19">
        <v>2</v>
      </c>
      <c r="B3" s="213" t="s">
        <v>253</v>
      </c>
      <c r="C3" s="24">
        <f>15000*3*12</f>
        <v>540000</v>
      </c>
      <c r="D3" s="1"/>
      <c r="E3" s="1"/>
      <c r="F3" s="1"/>
      <c r="G3" s="1"/>
      <c r="H3" s="1"/>
      <c r="I3" s="1"/>
      <c r="J3" s="1"/>
      <c r="K3" s="1"/>
    </row>
    <row r="4" spans="1:3" ht="20.25">
      <c r="A4" s="22">
        <v>3</v>
      </c>
      <c r="B4" s="23" t="s">
        <v>246</v>
      </c>
      <c r="C4" s="24"/>
    </row>
    <row r="5" spans="1:3" ht="20.25">
      <c r="A5" s="19">
        <v>4</v>
      </c>
      <c r="B5" s="23" t="s">
        <v>248</v>
      </c>
      <c r="C5" s="24"/>
    </row>
    <row r="6" spans="1:3" ht="20.25">
      <c r="A6" s="19">
        <v>5</v>
      </c>
      <c r="B6" s="23" t="s">
        <v>249</v>
      </c>
      <c r="C6" s="24"/>
    </row>
    <row r="7" spans="1:3" ht="20.25">
      <c r="A7" s="22">
        <v>6</v>
      </c>
      <c r="B7" s="25" t="s">
        <v>250</v>
      </c>
      <c r="C7" s="24"/>
    </row>
    <row r="8" spans="1:3" ht="20.25">
      <c r="A8" s="19">
        <v>7</v>
      </c>
      <c r="B8" s="25" t="s">
        <v>251</v>
      </c>
      <c r="C8" s="24"/>
    </row>
    <row r="9" spans="1:3" ht="20.25">
      <c r="A9" s="19">
        <v>8</v>
      </c>
      <c r="B9" s="37" t="s">
        <v>80</v>
      </c>
      <c r="C9" s="24">
        <f>12*30000</f>
        <v>360000</v>
      </c>
    </row>
    <row r="10" spans="1:3" ht="20.25">
      <c r="A10" s="22">
        <v>9</v>
      </c>
      <c r="B10" s="37" t="s">
        <v>206</v>
      </c>
      <c r="C10" s="24">
        <f>5*30000</f>
        <v>150000</v>
      </c>
    </row>
    <row r="11" spans="1:3" ht="20.25">
      <c r="A11" s="19">
        <v>10</v>
      </c>
      <c r="B11" s="37" t="s">
        <v>319</v>
      </c>
      <c r="C11" s="49"/>
    </row>
    <row r="12" spans="1:3" ht="20.25">
      <c r="A12" s="19">
        <v>11</v>
      </c>
      <c r="B12" s="37"/>
      <c r="C12" s="49"/>
    </row>
    <row r="13" spans="1:3" ht="20.25">
      <c r="A13" s="22">
        <v>12</v>
      </c>
      <c r="B13" s="23"/>
      <c r="C13" s="49"/>
    </row>
    <row r="14" spans="1:3" ht="20.25">
      <c r="A14" s="19">
        <v>13</v>
      </c>
      <c r="B14" s="37"/>
      <c r="C14" s="49"/>
    </row>
    <row r="15" spans="1:10" ht="20.25">
      <c r="A15" s="19">
        <v>14</v>
      </c>
      <c r="B15" s="37"/>
      <c r="C15" s="49"/>
      <c r="J15" s="20"/>
    </row>
    <row r="16" spans="1:3" ht="20.25">
      <c r="A16" s="22">
        <v>15</v>
      </c>
      <c r="B16" s="37"/>
      <c r="C16" s="49"/>
    </row>
    <row r="17" spans="1:3" ht="20.25">
      <c r="A17" s="19">
        <v>16</v>
      </c>
      <c r="B17" s="37"/>
      <c r="C17" s="49"/>
    </row>
    <row r="18" spans="1:3" ht="21" thickBot="1">
      <c r="A18" s="19">
        <v>17</v>
      </c>
      <c r="B18" s="39"/>
      <c r="C18" s="50"/>
    </row>
  </sheetData>
  <sheetProtection/>
  <protectedRanges>
    <protectedRange sqref="C12 C14:C18 C9:C10" name="Tartom?ny2"/>
    <protectedRange sqref="C13" name="Tartom?ny2_1"/>
    <protectedRange sqref="C2:C3" name="Tartom?ny2_2"/>
    <protectedRange sqref="C4:C8" name="Tartom?ny2_3"/>
  </protectedRange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"/>
  <sheetViews>
    <sheetView zoomScale="90" zoomScaleNormal="90" zoomScalePageLayoutView="0" workbookViewId="0" topLeftCell="A1">
      <selection activeCell="C3" sqref="C3"/>
    </sheetView>
  </sheetViews>
  <sheetFormatPr defaultColWidth="9.140625" defaultRowHeight="12.75"/>
  <cols>
    <col min="2" max="2" width="40.00390625" style="0" customWidth="1"/>
    <col min="3" max="3" width="21.421875" style="42" customWidth="1"/>
  </cols>
  <sheetData>
    <row r="1" spans="1:3" ht="21" thickBot="1">
      <c r="A1" s="30" t="s">
        <v>19</v>
      </c>
      <c r="B1" s="31" t="s">
        <v>10</v>
      </c>
      <c r="C1" s="47">
        <f>SUM(C2:C20)</f>
        <v>3785000</v>
      </c>
    </row>
    <row r="2" spans="1:4" ht="20.25">
      <c r="A2" s="19">
        <v>1</v>
      </c>
      <c r="B2" s="36" t="s">
        <v>47</v>
      </c>
      <c r="C2" s="21">
        <f>'Edzőtábor bevétel'!C2</f>
        <v>1250000</v>
      </c>
      <c r="D2" s="65"/>
    </row>
    <row r="3" spans="1:4" ht="20.25">
      <c r="A3" s="22">
        <v>2</v>
      </c>
      <c r="B3" s="37" t="s">
        <v>49</v>
      </c>
      <c r="C3" s="21">
        <f>'Edzőtábor bevétel'!C3</f>
        <v>750000</v>
      </c>
      <c r="D3" s="65"/>
    </row>
    <row r="4" spans="1:4" ht="20.25">
      <c r="A4" s="22">
        <v>3</v>
      </c>
      <c r="B4" s="37" t="s">
        <v>48</v>
      </c>
      <c r="C4" s="21">
        <f>'Edzőtábor bevétel'!C4</f>
        <v>1785000</v>
      </c>
      <c r="D4" s="65" t="s">
        <v>316</v>
      </c>
    </row>
    <row r="5" spans="1:3" ht="20.25">
      <c r="A5" s="22">
        <v>4</v>
      </c>
      <c r="B5" s="23"/>
      <c r="C5" s="49"/>
    </row>
    <row r="6" spans="1:3" ht="20.25">
      <c r="A6" s="22">
        <v>5</v>
      </c>
      <c r="B6" s="23"/>
      <c r="C6" s="49"/>
    </row>
    <row r="7" spans="1:3" ht="20.25">
      <c r="A7" s="22">
        <v>6</v>
      </c>
      <c r="B7" s="23"/>
      <c r="C7" s="49"/>
    </row>
    <row r="8" spans="1:3" ht="20.25">
      <c r="A8" s="22">
        <v>7</v>
      </c>
      <c r="B8" s="23"/>
      <c r="C8" s="49"/>
    </row>
    <row r="9" spans="1:3" ht="20.25">
      <c r="A9" s="22">
        <v>8</v>
      </c>
      <c r="B9" s="25"/>
      <c r="C9" s="49"/>
    </row>
    <row r="10" spans="1:3" ht="20.25">
      <c r="A10" s="22">
        <v>9</v>
      </c>
      <c r="B10" s="26"/>
      <c r="C10" s="49"/>
    </row>
    <row r="11" spans="1:3" ht="20.25">
      <c r="A11" s="22">
        <v>10</v>
      </c>
      <c r="B11" s="26"/>
      <c r="C11" s="49"/>
    </row>
    <row r="12" spans="1:3" ht="20.25">
      <c r="A12" s="22">
        <v>11</v>
      </c>
      <c r="B12" s="26"/>
      <c r="C12" s="49"/>
    </row>
    <row r="13" spans="1:3" ht="20.25">
      <c r="A13" s="22">
        <v>12</v>
      </c>
      <c r="B13" s="26"/>
      <c r="C13" s="49"/>
    </row>
    <row r="14" spans="1:3" ht="20.25">
      <c r="A14" s="22">
        <v>13</v>
      </c>
      <c r="B14" s="26"/>
      <c r="C14" s="49"/>
    </row>
    <row r="15" spans="1:3" ht="20.25">
      <c r="A15" s="22">
        <v>14</v>
      </c>
      <c r="B15" s="26"/>
      <c r="C15" s="49"/>
    </row>
    <row r="16" spans="1:3" ht="20.25">
      <c r="A16" s="22">
        <v>15</v>
      </c>
      <c r="B16" s="26"/>
      <c r="C16" s="49"/>
    </row>
    <row r="17" spans="1:3" ht="20.25">
      <c r="A17" s="22">
        <v>16</v>
      </c>
      <c r="B17" s="26"/>
      <c r="C17" s="49"/>
    </row>
    <row r="18" spans="1:3" ht="20.25">
      <c r="A18" s="22">
        <v>17</v>
      </c>
      <c r="B18" s="26"/>
      <c r="C18" s="49"/>
    </row>
    <row r="19" spans="1:3" ht="20.25">
      <c r="A19" s="22">
        <v>18</v>
      </c>
      <c r="B19" s="26"/>
      <c r="C19" s="49"/>
    </row>
    <row r="20" spans="1:3" ht="21" thickBot="1">
      <c r="A20" s="27">
        <v>19</v>
      </c>
      <c r="B20" s="28"/>
      <c r="C20" s="50"/>
    </row>
  </sheetData>
  <sheetProtection/>
  <protectedRanges>
    <protectedRange sqref="C5:C20" name="Tartom?ny2"/>
    <protectedRange sqref="C2:C4" name="Tartom?ny2_1"/>
  </protectedRange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46.28125" style="0" bestFit="1" customWidth="1"/>
    <col min="3" max="3" width="21.421875" style="42" customWidth="1"/>
  </cols>
  <sheetData>
    <row r="1" spans="1:3" ht="21" thickBot="1">
      <c r="A1" s="30" t="s">
        <v>19</v>
      </c>
      <c r="B1" s="31" t="s">
        <v>6</v>
      </c>
      <c r="C1" s="47">
        <f>SUM(C2:C21)</f>
        <v>1864000</v>
      </c>
    </row>
    <row r="2" spans="1:4" ht="20.25">
      <c r="A2" s="19">
        <v>1</v>
      </c>
      <c r="B2" s="36" t="s">
        <v>133</v>
      </c>
      <c r="C2" s="48">
        <f>'Saját forrás'!C21*0.9</f>
        <v>864000</v>
      </c>
      <c r="D2" s="65" t="s">
        <v>219</v>
      </c>
    </row>
    <row r="3" spans="1:3" ht="20.25">
      <c r="A3" s="19">
        <v>2</v>
      </c>
      <c r="B3" s="36" t="s">
        <v>132</v>
      </c>
      <c r="C3" s="48"/>
    </row>
    <row r="4" spans="1:3" ht="20.25">
      <c r="A4" s="22">
        <v>3</v>
      </c>
      <c r="B4" s="37" t="s">
        <v>100</v>
      </c>
      <c r="C4" s="49"/>
    </row>
    <row r="5" spans="1:3" ht="20.25">
      <c r="A5" s="19">
        <v>4</v>
      </c>
      <c r="B5" s="37" t="s">
        <v>84</v>
      </c>
      <c r="C5" s="49">
        <v>1000000</v>
      </c>
    </row>
    <row r="6" spans="1:3" ht="20.25">
      <c r="A6" s="19">
        <v>5</v>
      </c>
      <c r="B6" s="37" t="s">
        <v>317</v>
      </c>
      <c r="C6" s="49"/>
    </row>
    <row r="7" spans="1:3" ht="20.25">
      <c r="A7" s="22">
        <v>6</v>
      </c>
      <c r="B7" s="37" t="s">
        <v>318</v>
      </c>
      <c r="C7" s="49"/>
    </row>
    <row r="8" spans="1:3" ht="20.25">
      <c r="A8" s="19">
        <v>7</v>
      </c>
      <c r="B8" s="37"/>
      <c r="C8" s="49"/>
    </row>
    <row r="9" spans="1:3" ht="20.25">
      <c r="A9" s="19">
        <v>8</v>
      </c>
      <c r="B9" s="37"/>
      <c r="C9" s="49"/>
    </row>
    <row r="10" spans="1:3" ht="20.25">
      <c r="A10" s="22">
        <v>9</v>
      </c>
      <c r="B10" s="38"/>
      <c r="C10" s="49"/>
    </row>
    <row r="11" spans="1:3" ht="20.25">
      <c r="A11" s="22"/>
      <c r="B11" s="37"/>
      <c r="C11" s="49"/>
    </row>
    <row r="12" spans="1:3" ht="20.25">
      <c r="A12" s="22"/>
      <c r="B12" s="37"/>
      <c r="C12" s="49"/>
    </row>
    <row r="13" spans="1:3" ht="20.25">
      <c r="A13" s="22"/>
      <c r="B13" s="37"/>
      <c r="C13" s="49"/>
    </row>
    <row r="14" spans="1:3" ht="20.25">
      <c r="A14" s="22"/>
      <c r="B14" s="37"/>
      <c r="C14" s="49"/>
    </row>
    <row r="15" spans="1:3" ht="20.25">
      <c r="A15" s="22"/>
      <c r="B15" s="37"/>
      <c r="C15" s="49"/>
    </row>
    <row r="16" spans="1:3" ht="20.25">
      <c r="A16" s="22"/>
      <c r="B16" s="37"/>
      <c r="C16" s="49"/>
    </row>
    <row r="17" spans="1:3" ht="20.25">
      <c r="A17" s="22"/>
      <c r="B17" s="37"/>
      <c r="C17" s="49"/>
    </row>
    <row r="18" spans="1:3" ht="20.25">
      <c r="A18" s="22">
        <v>16</v>
      </c>
      <c r="B18" s="37"/>
      <c r="C18" s="49"/>
    </row>
    <row r="19" spans="1:3" ht="20.25">
      <c r="A19" s="22">
        <v>17</v>
      </c>
      <c r="B19" s="37"/>
      <c r="C19" s="49"/>
    </row>
    <row r="20" spans="1:3" ht="20.25">
      <c r="A20" s="22">
        <v>18</v>
      </c>
      <c r="B20" s="37"/>
      <c r="C20" s="49"/>
    </row>
    <row r="21" spans="1:3" ht="21" thickBot="1">
      <c r="A21" s="27">
        <v>19</v>
      </c>
      <c r="B21" s="39"/>
      <c r="C21" s="50"/>
    </row>
  </sheetData>
  <sheetProtection/>
  <protectedRanges>
    <protectedRange sqref="C2:C21" name="Tartom?ny2"/>
  </protectedRange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6"/>
  <sheetViews>
    <sheetView zoomScale="134" zoomScaleNormal="134" zoomScalePageLayoutView="0" workbookViewId="0" topLeftCell="A1">
      <selection activeCell="C8" sqref="C8"/>
    </sheetView>
  </sheetViews>
  <sheetFormatPr defaultColWidth="9.140625" defaultRowHeight="12.75"/>
  <cols>
    <col min="1" max="1" width="17.00390625" style="0" customWidth="1"/>
    <col min="2" max="2" width="39.421875" style="0" customWidth="1"/>
    <col min="3" max="3" width="22.57421875" style="42" customWidth="1"/>
    <col min="4" max="4" width="12.57421875" style="0" bestFit="1" customWidth="1"/>
    <col min="5" max="5" width="14.57421875" style="0" bestFit="1" customWidth="1"/>
    <col min="6" max="6" width="16.421875" style="0" customWidth="1"/>
    <col min="7" max="7" width="16.57421875" style="0" customWidth="1"/>
    <col min="8" max="8" width="15.57421875" style="0" customWidth="1"/>
    <col min="9" max="9" width="15.8515625" style="0" customWidth="1"/>
    <col min="10" max="10" width="15.28125" style="0" customWidth="1"/>
    <col min="11" max="11" width="14.28125" style="0" customWidth="1"/>
    <col min="12" max="12" width="14.57421875" style="0" customWidth="1"/>
    <col min="13" max="13" width="14.8515625" style="0" customWidth="1"/>
    <col min="14" max="14" width="14.8515625" style="0" bestFit="1" customWidth="1"/>
    <col min="15" max="15" width="12.8515625" style="0" bestFit="1" customWidth="1"/>
    <col min="16" max="16" width="12.7109375" style="0" customWidth="1"/>
    <col min="17" max="17" width="13.7109375" style="0" customWidth="1"/>
    <col min="18" max="18" width="15.7109375" style="0" customWidth="1"/>
    <col min="19" max="19" width="12.57421875" style="0" bestFit="1" customWidth="1"/>
    <col min="20" max="20" width="15.140625" style="0" customWidth="1"/>
    <col min="21" max="21" width="14.57421875" style="0" bestFit="1" customWidth="1"/>
    <col min="22" max="22" width="12.7109375" style="0" customWidth="1"/>
    <col min="25" max="25" width="14.57421875" style="0" bestFit="1" customWidth="1"/>
    <col min="28" max="28" width="12.7109375" style="0" customWidth="1"/>
    <col min="29" max="29" width="12.8515625" style="0" customWidth="1"/>
  </cols>
  <sheetData>
    <row r="1" spans="1:3" ht="21" thickBot="1">
      <c r="A1" s="30" t="s">
        <v>19</v>
      </c>
      <c r="B1" s="31" t="s">
        <v>86</v>
      </c>
      <c r="C1" s="47">
        <f>SUM(C2:C61)</f>
        <v>9100170</v>
      </c>
    </row>
    <row r="2" spans="1:12" ht="15.75">
      <c r="A2" s="181">
        <v>1</v>
      </c>
      <c r="B2" s="181" t="s">
        <v>254</v>
      </c>
      <c r="C2" s="182"/>
      <c r="D2" s="65"/>
      <c r="F2" s="225"/>
      <c r="G2" s="226"/>
      <c r="L2" s="65"/>
    </row>
    <row r="3" spans="1:8" ht="15.75">
      <c r="A3" s="181">
        <v>2</v>
      </c>
      <c r="B3" s="181" t="s">
        <v>368</v>
      </c>
      <c r="C3" s="182">
        <f>5000000*0.7</f>
        <v>3500000</v>
      </c>
      <c r="D3" s="65" t="s">
        <v>376</v>
      </c>
      <c r="F3" s="225"/>
      <c r="G3" s="226"/>
      <c r="H3" s="65"/>
    </row>
    <row r="4" spans="1:8" ht="15.75">
      <c r="A4" s="181">
        <v>3</v>
      </c>
      <c r="B4" s="181" t="s">
        <v>381</v>
      </c>
      <c r="C4" s="182">
        <f>3000000*0.7</f>
        <v>2100000</v>
      </c>
      <c r="D4" s="65" t="s">
        <v>376</v>
      </c>
      <c r="F4" s="225"/>
      <c r="G4" s="226"/>
      <c r="H4" s="65"/>
    </row>
    <row r="5" spans="1:12" ht="15.75">
      <c r="A5" s="181">
        <v>4</v>
      </c>
      <c r="B5" s="181" t="s">
        <v>49</v>
      </c>
      <c r="C5" s="182">
        <f>3000000*0.7-500000</f>
        <v>1600000</v>
      </c>
      <c r="D5" s="65" t="s">
        <v>397</v>
      </c>
      <c r="F5" s="225"/>
      <c r="G5" s="226"/>
      <c r="H5" s="450"/>
      <c r="L5" s="65"/>
    </row>
    <row r="6" spans="1:12" ht="15.75">
      <c r="A6" s="181">
        <v>5</v>
      </c>
      <c r="B6" s="181" t="s">
        <v>47</v>
      </c>
      <c r="C6" s="182">
        <f>300000+1000000</f>
        <v>1300000</v>
      </c>
      <c r="D6" s="65" t="s">
        <v>377</v>
      </c>
      <c r="F6" s="225"/>
      <c r="G6" s="226"/>
      <c r="L6" s="65"/>
    </row>
    <row r="7" spans="1:7" ht="15.75">
      <c r="A7" s="181">
        <v>6</v>
      </c>
      <c r="B7" s="181" t="s">
        <v>255</v>
      </c>
      <c r="C7" s="182">
        <f>400000+200000</f>
        <v>600000</v>
      </c>
      <c r="D7" s="65" t="s">
        <v>398</v>
      </c>
      <c r="F7" s="225"/>
      <c r="G7" s="226"/>
    </row>
    <row r="8" spans="1:7" ht="15.75">
      <c r="A8" s="181">
        <v>7</v>
      </c>
      <c r="B8" s="181" t="s">
        <v>369</v>
      </c>
      <c r="C8" s="182"/>
      <c r="F8" s="225"/>
      <c r="G8" s="226"/>
    </row>
    <row r="9" spans="1:4" ht="15.75">
      <c r="A9" s="181">
        <v>8</v>
      </c>
      <c r="B9" s="181"/>
      <c r="C9" s="182"/>
      <c r="D9" s="65"/>
    </row>
    <row r="10" spans="1:4" ht="15.75">
      <c r="A10" s="181">
        <v>9</v>
      </c>
      <c r="B10" s="181"/>
      <c r="C10" s="182"/>
      <c r="D10" s="65"/>
    </row>
    <row r="11" spans="1:4" ht="15.75">
      <c r="A11" s="181">
        <v>10</v>
      </c>
      <c r="B11" s="181"/>
      <c r="C11" s="182"/>
      <c r="D11" s="65"/>
    </row>
    <row r="12" spans="1:3" ht="15.75">
      <c r="A12" s="181">
        <v>11</v>
      </c>
      <c r="B12" s="190"/>
      <c r="C12" s="214">
        <f>G8</f>
        <v>0</v>
      </c>
    </row>
    <row r="13" spans="1:14" ht="18.75">
      <c r="A13" s="178"/>
      <c r="B13" s="178"/>
      <c r="C13" s="178"/>
      <c r="D13" s="178"/>
      <c r="E13" s="178"/>
      <c r="F13" s="178"/>
      <c r="G13" s="178"/>
      <c r="H13" s="215"/>
      <c r="I13" s="215"/>
      <c r="J13" s="216"/>
      <c r="K13" s="217"/>
      <c r="L13" s="215"/>
      <c r="M13" s="178"/>
      <c r="N13" s="179"/>
    </row>
    <row r="14" spans="1:14" ht="12.75">
      <c r="A14" s="219"/>
      <c r="B14" s="219"/>
      <c r="C14" s="219"/>
      <c r="D14" s="500"/>
      <c r="E14" s="501"/>
      <c r="F14" s="501"/>
      <c r="G14" s="220"/>
      <c r="H14" s="500"/>
      <c r="I14" s="501"/>
      <c r="J14" s="501"/>
      <c r="K14" s="219"/>
      <c r="L14" s="219"/>
      <c r="M14" s="219"/>
      <c r="N14" s="219"/>
    </row>
    <row r="15" spans="1:14" ht="12.75">
      <c r="A15" s="219"/>
      <c r="B15" s="218"/>
      <c r="C15" s="221"/>
      <c r="D15" s="222"/>
      <c r="E15" s="223"/>
      <c r="F15" s="224"/>
      <c r="G15" s="223"/>
      <c r="H15" s="223"/>
      <c r="I15" s="223"/>
      <c r="J15" s="223"/>
      <c r="K15" s="224"/>
      <c r="L15" s="223"/>
      <c r="M15" s="223"/>
      <c r="N15" s="223"/>
    </row>
    <row r="16" ht="12.75">
      <c r="C16"/>
    </row>
    <row r="17" ht="12.75"/>
    <row r="18" ht="15">
      <c r="V18" s="313"/>
    </row>
    <row r="19" ht="15">
      <c r="V19" s="313"/>
    </row>
    <row r="20" ht="15">
      <c r="V20" s="313"/>
    </row>
    <row r="21" ht="15">
      <c r="V21" s="313"/>
    </row>
    <row r="22" ht="15">
      <c r="V22" s="335"/>
    </row>
    <row r="23" ht="15">
      <c r="V23" s="335"/>
    </row>
    <row r="24" ht="15">
      <c r="V24" s="335"/>
    </row>
    <row r="25" ht="15">
      <c r="V25" s="335"/>
    </row>
    <row r="26" ht="15">
      <c r="V26" s="335"/>
    </row>
    <row r="27" ht="15">
      <c r="V27" s="367"/>
    </row>
    <row r="28" ht="15">
      <c r="V28" s="367"/>
    </row>
    <row r="29" ht="15">
      <c r="V29" s="367"/>
    </row>
    <row r="30" ht="15">
      <c r="V30" s="388"/>
    </row>
    <row r="31" ht="15">
      <c r="V31" s="400"/>
    </row>
    <row r="32" ht="15">
      <c r="V32" s="409"/>
    </row>
    <row r="33" spans="3:22" ht="15">
      <c r="C33"/>
      <c r="V33" s="415"/>
    </row>
    <row r="34" spans="1:28" ht="15.75">
      <c r="A34" s="431"/>
      <c r="B34" s="432"/>
      <c r="C34" s="432"/>
      <c r="D34" s="256"/>
      <c r="E34" s="433"/>
      <c r="F34" s="236"/>
      <c r="G34" s="416"/>
      <c r="H34" s="420"/>
      <c r="I34" s="421"/>
      <c r="J34" s="504"/>
      <c r="K34" s="505"/>
      <c r="L34" s="236"/>
      <c r="M34" s="236"/>
      <c r="N34" s="416"/>
      <c r="O34" s="416"/>
      <c r="P34" s="416"/>
      <c r="Q34" s="416"/>
      <c r="R34" s="417"/>
      <c r="S34" s="416"/>
      <c r="T34" s="416"/>
      <c r="U34" s="416"/>
      <c r="V34" s="416"/>
      <c r="W34" s="416"/>
      <c r="X34" s="418"/>
      <c r="Y34" s="422"/>
      <c r="Z34" s="422"/>
      <c r="AA34" s="422"/>
      <c r="AB34" s="422"/>
    </row>
    <row r="35" spans="1:29" ht="18.75">
      <c r="A35" s="442" t="s">
        <v>48</v>
      </c>
      <c r="B35" s="432"/>
      <c r="C35" s="432"/>
      <c r="D35" s="256"/>
      <c r="E35" s="42">
        <f>SUM(E36:E41)</f>
        <v>5479500</v>
      </c>
      <c r="F35" s="236"/>
      <c r="G35" s="236"/>
      <c r="H35" s="416"/>
      <c r="I35" s="420"/>
      <c r="J35" s="421"/>
      <c r="K35" s="420"/>
      <c r="L35" s="421"/>
      <c r="M35" s="236"/>
      <c r="N35" s="236"/>
      <c r="O35" s="416"/>
      <c r="P35" s="423"/>
      <c r="Q35" s="423"/>
      <c r="R35" s="416"/>
      <c r="S35" s="417"/>
      <c r="T35" s="416"/>
      <c r="U35" s="424"/>
      <c r="V35" s="425"/>
      <c r="W35" s="416"/>
      <c r="X35" s="416"/>
      <c r="Y35" s="418"/>
      <c r="Z35" s="422"/>
      <c r="AA35" s="422"/>
      <c r="AB35" s="422"/>
      <c r="AC35" s="422"/>
    </row>
    <row r="36" spans="1:29" ht="15.75">
      <c r="A36" s="419" t="s">
        <v>117</v>
      </c>
      <c r="B36" s="432"/>
      <c r="C36" s="432"/>
      <c r="D36" s="256"/>
      <c r="E36" s="449">
        <f>K46+F71+H71+J71+O71</f>
        <v>1542000</v>
      </c>
      <c r="F36" s="236"/>
      <c r="G36" s="236"/>
      <c r="H36" s="417"/>
      <c r="I36" s="417"/>
      <c r="J36" s="417"/>
      <c r="K36" s="506"/>
      <c r="L36" s="507"/>
      <c r="M36" s="239"/>
      <c r="N36" s="239"/>
      <c r="O36" s="417"/>
      <c r="P36" s="428"/>
      <c r="Q36" s="428"/>
      <c r="R36" s="417"/>
      <c r="S36" s="417"/>
      <c r="T36" s="416"/>
      <c r="U36" s="416"/>
      <c r="V36" s="416"/>
      <c r="W36" s="416"/>
      <c r="X36" s="416"/>
      <c r="Y36" s="418"/>
      <c r="Z36" s="422"/>
      <c r="AA36" s="422"/>
      <c r="AB36" s="422"/>
      <c r="AC36" s="422"/>
    </row>
    <row r="37" spans="1:29" ht="15">
      <c r="A37" s="419" t="s">
        <v>362</v>
      </c>
      <c r="B37" s="420"/>
      <c r="C37" s="420"/>
      <c r="D37" s="420"/>
      <c r="E37" s="449">
        <f>M71</f>
        <v>846000</v>
      </c>
      <c r="F37" s="236"/>
      <c r="G37" s="236"/>
      <c r="H37" s="417"/>
      <c r="I37" s="417"/>
      <c r="J37" s="417"/>
      <c r="K37" s="417"/>
      <c r="L37" s="417"/>
      <c r="M37" s="417"/>
      <c r="N37" s="429"/>
      <c r="O37" s="417"/>
      <c r="P37" s="428"/>
      <c r="Q37" s="428"/>
      <c r="R37" s="417"/>
      <c r="S37" s="417"/>
      <c r="T37" s="416"/>
      <c r="U37" s="416"/>
      <c r="V37" s="416"/>
      <c r="W37" s="416"/>
      <c r="X37" s="416"/>
      <c r="Y37" s="418"/>
      <c r="Z37" s="422"/>
      <c r="AA37" s="422"/>
      <c r="AB37" s="422"/>
      <c r="AC37" s="422"/>
    </row>
    <row r="38" spans="1:29" ht="27">
      <c r="A38" s="419" t="s">
        <v>364</v>
      </c>
      <c r="B38" s="420"/>
      <c r="C38" s="420"/>
      <c r="D38" s="420"/>
      <c r="E38" s="449">
        <f>K71+L71</f>
        <v>1530000</v>
      </c>
      <c r="F38" s="236"/>
      <c r="G38" s="236"/>
      <c r="H38" s="417"/>
      <c r="I38" s="417"/>
      <c r="J38" s="417"/>
      <c r="K38" s="417"/>
      <c r="L38" s="417"/>
      <c r="M38" s="417"/>
      <c r="N38" s="429"/>
      <c r="O38" s="417"/>
      <c r="P38" s="430"/>
      <c r="Q38" s="430"/>
      <c r="R38" s="417"/>
      <c r="S38" s="417"/>
      <c r="T38" s="416"/>
      <c r="U38" s="416"/>
      <c r="V38" s="416"/>
      <c r="W38" s="416"/>
      <c r="X38" s="416"/>
      <c r="Y38" s="418"/>
      <c r="Z38" s="422"/>
      <c r="AA38" s="422"/>
      <c r="AB38" s="422"/>
      <c r="AC38" s="422"/>
    </row>
    <row r="39" spans="1:29" ht="15">
      <c r="A39" s="426" t="s">
        <v>205</v>
      </c>
      <c r="B39" s="427"/>
      <c r="C39" s="427"/>
      <c r="D39" s="427"/>
      <c r="E39" s="449">
        <f>G71+I71</f>
        <v>1468500</v>
      </c>
      <c r="F39" s="236"/>
      <c r="G39" s="236"/>
      <c r="H39" s="417"/>
      <c r="I39" s="417"/>
      <c r="J39" s="417"/>
      <c r="K39" s="417"/>
      <c r="L39" s="417"/>
      <c r="M39" s="417"/>
      <c r="N39" s="429"/>
      <c r="O39" s="417"/>
      <c r="P39" s="430"/>
      <c r="Q39" s="430"/>
      <c r="R39" s="417"/>
      <c r="S39" s="417"/>
      <c r="T39" s="416"/>
      <c r="U39" s="416"/>
      <c r="V39" s="416"/>
      <c r="W39" s="416"/>
      <c r="X39" s="416"/>
      <c r="Y39" s="418"/>
      <c r="Z39" s="422"/>
      <c r="AA39" s="422"/>
      <c r="AB39" s="422"/>
      <c r="AC39" s="422"/>
    </row>
    <row r="40" spans="1:29" ht="15">
      <c r="A40" s="426" t="s">
        <v>365</v>
      </c>
      <c r="B40" s="427"/>
      <c r="C40" s="427"/>
      <c r="D40" s="427"/>
      <c r="E40" s="449">
        <f>D71</f>
        <v>93000</v>
      </c>
      <c r="F40" s="239"/>
      <c r="G40" s="236"/>
      <c r="H40" s="417"/>
      <c r="I40" s="417"/>
      <c r="J40" s="417"/>
      <c r="K40" s="417"/>
      <c r="L40" s="417"/>
      <c r="M40" s="417"/>
      <c r="N40" s="429"/>
      <c r="O40" s="417"/>
      <c r="P40" s="430"/>
      <c r="Q40" s="430"/>
      <c r="R40" s="417"/>
      <c r="S40" s="417"/>
      <c r="T40" s="416"/>
      <c r="U40" s="416"/>
      <c r="V40" s="416"/>
      <c r="W40" s="416"/>
      <c r="X40" s="416"/>
      <c r="Y40" s="418"/>
      <c r="Z40" s="422"/>
      <c r="AA40" s="422"/>
      <c r="AB40" s="422"/>
      <c r="AC40" s="422"/>
    </row>
    <row r="41" spans="1:29" ht="15">
      <c r="A41" s="427"/>
      <c r="B41" s="427"/>
      <c r="C41" s="427"/>
      <c r="D41" s="427"/>
      <c r="E41" s="449"/>
      <c r="F41" s="236"/>
      <c r="G41" s="236"/>
      <c r="H41" s="417"/>
      <c r="I41" s="417"/>
      <c r="J41" s="417"/>
      <c r="K41" s="417"/>
      <c r="L41" s="417"/>
      <c r="M41" s="417"/>
      <c r="N41" s="429"/>
      <c r="O41" s="417"/>
      <c r="P41" s="430"/>
      <c r="Q41" s="430"/>
      <c r="R41" s="417"/>
      <c r="S41" s="417"/>
      <c r="T41" s="416"/>
      <c r="U41" s="416"/>
      <c r="V41" s="416"/>
      <c r="W41" s="416"/>
      <c r="X41" s="416"/>
      <c r="Y41" s="418"/>
      <c r="Z41" s="422"/>
      <c r="AA41" s="422"/>
      <c r="AB41" s="422"/>
      <c r="AC41" s="422"/>
    </row>
    <row r="42" spans="1:29" ht="15">
      <c r="A42" s="443" t="s">
        <v>49</v>
      </c>
      <c r="B42" s="427"/>
      <c r="C42" s="427"/>
      <c r="D42" s="427"/>
      <c r="E42" s="42">
        <f>SUM(E43:E45)</f>
        <v>1440000</v>
      </c>
      <c r="G42" s="236"/>
      <c r="H42" s="417"/>
      <c r="I42" s="417"/>
      <c r="J42" s="417"/>
      <c r="K42" s="417"/>
      <c r="L42" s="417"/>
      <c r="M42" s="417"/>
      <c r="N42" s="429"/>
      <c r="O42" s="417"/>
      <c r="P42" s="430"/>
      <c r="Q42" s="430"/>
      <c r="R42" s="417"/>
      <c r="S42" s="417"/>
      <c r="T42" s="416"/>
      <c r="U42" s="416"/>
      <c r="V42" s="416"/>
      <c r="W42" s="416"/>
      <c r="X42" s="416"/>
      <c r="Y42" s="418"/>
      <c r="Z42" s="422"/>
      <c r="AA42" s="422"/>
      <c r="AB42" s="422"/>
      <c r="AC42" s="422"/>
    </row>
    <row r="43" spans="1:29" ht="15">
      <c r="A43" s="444" t="s">
        <v>366</v>
      </c>
      <c r="B43" s="427"/>
      <c r="C43" s="427"/>
      <c r="D43" s="427"/>
      <c r="E43" s="449">
        <f>N71</f>
        <v>1440000</v>
      </c>
      <c r="G43" s="236"/>
      <c r="H43" s="417"/>
      <c r="I43" s="417"/>
      <c r="J43" s="417"/>
      <c r="K43" s="417"/>
      <c r="L43" s="417"/>
      <c r="M43" s="417"/>
      <c r="N43" s="429"/>
      <c r="O43" s="417"/>
      <c r="P43" s="430"/>
      <c r="Q43" s="430"/>
      <c r="R43" s="417"/>
      <c r="S43" s="417"/>
      <c r="T43" s="416"/>
      <c r="U43" s="416"/>
      <c r="V43" s="416"/>
      <c r="W43" s="416"/>
      <c r="X43" s="416"/>
      <c r="Y43" s="418"/>
      <c r="Z43" s="422"/>
      <c r="AA43" s="422"/>
      <c r="AB43" s="422"/>
      <c r="AC43" s="422"/>
    </row>
    <row r="44" spans="1:29" ht="15">
      <c r="A44" s="444" t="s">
        <v>365</v>
      </c>
      <c r="B44" s="427"/>
      <c r="C44" s="445"/>
      <c r="D44" s="445"/>
      <c r="E44" s="449">
        <f>G106</f>
        <v>0</v>
      </c>
      <c r="F44" s="236"/>
      <c r="G44" s="236"/>
      <c r="H44" s="417"/>
      <c r="I44" s="417"/>
      <c r="J44" s="417"/>
      <c r="K44" s="417"/>
      <c r="L44" s="417"/>
      <c r="M44" s="417"/>
      <c r="N44" s="429"/>
      <c r="O44" s="417"/>
      <c r="P44" s="430"/>
      <c r="Q44" s="430"/>
      <c r="R44" s="417"/>
      <c r="S44" s="417"/>
      <c r="T44" s="416"/>
      <c r="U44" s="416"/>
      <c r="V44" s="416"/>
      <c r="W44" s="416"/>
      <c r="X44" s="416"/>
      <c r="Y44" s="418"/>
      <c r="Z44" s="422"/>
      <c r="AA44" s="422"/>
      <c r="AB44" s="422"/>
      <c r="AC44" s="422"/>
    </row>
    <row r="45" spans="1:29" ht="15">
      <c r="A45" s="426"/>
      <c r="B45" s="427"/>
      <c r="C45" s="445"/>
      <c r="D45" s="445"/>
      <c r="E45" s="236"/>
      <c r="F45" s="236"/>
      <c r="G45" s="239"/>
      <c r="H45" s="417"/>
      <c r="I45" s="417"/>
      <c r="J45" s="417"/>
      <c r="K45" s="417"/>
      <c r="L45" s="417"/>
      <c r="M45" s="417"/>
      <c r="N45" s="429"/>
      <c r="O45" s="417"/>
      <c r="P45" s="417"/>
      <c r="Q45" s="417"/>
      <c r="R45" s="417"/>
      <c r="S45" s="417"/>
      <c r="T45" s="416"/>
      <c r="U45" s="416"/>
      <c r="V45" s="416"/>
      <c r="W45" s="416"/>
      <c r="X45" s="416"/>
      <c r="Y45" s="418"/>
      <c r="Z45" s="422"/>
      <c r="AA45" s="422"/>
      <c r="AB45" s="422"/>
      <c r="AC45" s="422"/>
    </row>
    <row r="46" spans="1:27" ht="15">
      <c r="A46" s="443" t="s">
        <v>47</v>
      </c>
      <c r="B46" s="427"/>
      <c r="C46" s="445"/>
      <c r="D46" s="445"/>
      <c r="E46" s="42">
        <f>SUM(E47:E48)</f>
        <v>790500</v>
      </c>
      <c r="F46" s="239"/>
      <c r="G46" s="234"/>
      <c r="H46" s="234"/>
      <c r="I46" s="234"/>
      <c r="J46" s="234"/>
      <c r="K46" s="234"/>
      <c r="L46" s="234"/>
      <c r="M46" s="248"/>
      <c r="N46" s="234"/>
      <c r="O46" s="234"/>
      <c r="P46" s="234"/>
      <c r="Q46" s="234"/>
      <c r="R46" s="233"/>
      <c r="S46" s="233"/>
      <c r="T46" s="233"/>
      <c r="U46" s="233"/>
      <c r="V46" s="233"/>
      <c r="W46" s="235"/>
      <c r="X46" s="237"/>
      <c r="Y46" s="237"/>
      <c r="Z46" s="237"/>
      <c r="AA46" s="237"/>
    </row>
    <row r="47" spans="1:27" ht="15">
      <c r="A47" s="426" t="s">
        <v>365</v>
      </c>
      <c r="B47" s="427"/>
      <c r="C47" s="445"/>
      <c r="D47" s="445"/>
      <c r="E47" s="449">
        <f>G101</f>
        <v>0</v>
      </c>
      <c r="F47" s="240"/>
      <c r="G47" s="235"/>
      <c r="H47" s="235"/>
      <c r="I47" s="235"/>
      <c r="J47" s="234"/>
      <c r="K47" s="234"/>
      <c r="L47" s="234"/>
      <c r="M47" s="248"/>
      <c r="N47" s="235"/>
      <c r="O47" s="235"/>
      <c r="P47" s="235"/>
      <c r="Q47" s="235"/>
      <c r="R47" s="235"/>
      <c r="S47" s="235"/>
      <c r="T47" s="235"/>
      <c r="U47" s="235"/>
      <c r="V47" s="237"/>
      <c r="W47" s="237"/>
      <c r="X47" s="237"/>
      <c r="Y47" s="237"/>
      <c r="Z47" s="237"/>
      <c r="AA47" s="237"/>
    </row>
    <row r="48" spans="1:27" ht="15">
      <c r="A48" s="426" t="s">
        <v>367</v>
      </c>
      <c r="B48" s="427"/>
      <c r="C48" s="445">
        <v>170</v>
      </c>
      <c r="D48" s="445">
        <v>15</v>
      </c>
      <c r="E48" s="449">
        <f>C48*D48*310</f>
        <v>790500</v>
      </c>
      <c r="F48" s="240"/>
      <c r="G48" s="241"/>
      <c r="H48" s="241"/>
      <c r="I48" s="241"/>
      <c r="J48" s="235"/>
      <c r="K48" s="235"/>
      <c r="L48" s="235"/>
      <c r="M48" s="249"/>
      <c r="N48" s="235"/>
      <c r="O48" s="235"/>
      <c r="P48" s="235"/>
      <c r="Q48" s="235"/>
      <c r="R48" s="235"/>
      <c r="S48" s="235"/>
      <c r="T48" s="235"/>
      <c r="U48" s="235"/>
      <c r="V48" s="237"/>
      <c r="W48" s="237"/>
      <c r="X48" s="237"/>
      <c r="Y48" s="237"/>
      <c r="Z48" s="237"/>
      <c r="AA48" s="237"/>
    </row>
    <row r="49" spans="1:27" ht="15">
      <c r="A49" s="426"/>
      <c r="B49" s="238"/>
      <c r="C49" s="446"/>
      <c r="D49" s="236"/>
      <c r="E49" s="239"/>
      <c r="F49" s="240"/>
      <c r="G49" s="241"/>
      <c r="H49" s="241"/>
      <c r="I49" s="241"/>
      <c r="J49" s="243"/>
      <c r="K49" s="243"/>
      <c r="L49" s="241"/>
      <c r="M49" s="250"/>
      <c r="N49" s="244"/>
      <c r="O49" s="244"/>
      <c r="P49" s="244"/>
      <c r="Q49" s="244"/>
      <c r="R49" s="244"/>
      <c r="S49" s="244"/>
      <c r="T49" s="244"/>
      <c r="U49" s="244"/>
      <c r="V49" s="227"/>
      <c r="W49" s="227"/>
      <c r="X49" s="227"/>
      <c r="Y49" s="227"/>
      <c r="Z49" s="227"/>
      <c r="AA49" s="227"/>
    </row>
    <row r="50" spans="1:27" ht="15">
      <c r="A50" s="443" t="s">
        <v>75</v>
      </c>
      <c r="B50" s="237"/>
      <c r="C50" s="237"/>
      <c r="D50" s="236"/>
      <c r="E50" s="42">
        <f>SUM(E51:E52)</f>
        <v>0</v>
      </c>
      <c r="F50" s="245"/>
      <c r="G50" s="241"/>
      <c r="H50" s="241"/>
      <c r="I50" s="241"/>
      <c r="J50" s="241"/>
      <c r="K50" s="241"/>
      <c r="L50" s="243"/>
      <c r="M50" s="245"/>
      <c r="N50" s="244"/>
      <c r="O50" s="244"/>
      <c r="P50" s="244"/>
      <c r="Q50" s="244"/>
      <c r="R50" s="244"/>
      <c r="S50" s="244"/>
      <c r="T50" s="244"/>
      <c r="U50" s="244"/>
      <c r="V50" s="227"/>
      <c r="W50" s="227"/>
      <c r="X50" s="227"/>
      <c r="Y50" s="227"/>
      <c r="Z50" s="227"/>
      <c r="AA50" s="227"/>
    </row>
    <row r="51" spans="1:27" ht="15">
      <c r="A51" s="426" t="s">
        <v>365</v>
      </c>
      <c r="B51" s="237"/>
      <c r="C51" s="447"/>
      <c r="D51" s="447"/>
      <c r="E51" s="449">
        <f>C51*D51</f>
        <v>0</v>
      </c>
      <c r="F51" s="243"/>
      <c r="G51" s="241"/>
      <c r="H51" s="241"/>
      <c r="I51" s="241"/>
      <c r="J51" s="243"/>
      <c r="K51" s="243"/>
      <c r="L51" s="241"/>
      <c r="M51" s="250"/>
      <c r="N51" s="244"/>
      <c r="O51" s="244"/>
      <c r="P51" s="244"/>
      <c r="Q51" s="244"/>
      <c r="R51" s="244"/>
      <c r="S51" s="244"/>
      <c r="T51" s="244"/>
      <c r="U51" s="244"/>
      <c r="V51" s="227"/>
      <c r="W51" s="227"/>
      <c r="X51" s="227"/>
      <c r="Y51" s="227"/>
      <c r="Z51" s="227"/>
      <c r="AA51" s="227"/>
    </row>
    <row r="52" spans="1:13" ht="15">
      <c r="A52" s="426" t="s">
        <v>367</v>
      </c>
      <c r="B52" s="242"/>
      <c r="C52" s="447"/>
      <c r="D52" s="448"/>
      <c r="E52" s="449">
        <f>C52*D52</f>
        <v>0</v>
      </c>
      <c r="F52" s="246"/>
      <c r="G52" s="247"/>
      <c r="H52" s="247"/>
      <c r="I52" s="247"/>
      <c r="J52" s="241"/>
      <c r="K52" s="241"/>
      <c r="L52" s="243"/>
      <c r="M52" s="245"/>
    </row>
    <row r="53" spans="1:13" ht="15">
      <c r="A53" s="227"/>
      <c r="B53" s="242"/>
      <c r="C53" s="227"/>
      <c r="D53" s="243"/>
      <c r="E53" s="243"/>
      <c r="F53" s="227"/>
      <c r="G53" s="227"/>
      <c r="H53" s="227"/>
      <c r="I53" s="227"/>
      <c r="J53" s="246"/>
      <c r="K53" s="246"/>
      <c r="L53" s="247"/>
      <c r="M53" s="251"/>
    </row>
    <row r="54" spans="1:21" ht="18.75">
      <c r="A54" s="285">
        <v>310</v>
      </c>
      <c r="B54" s="286"/>
      <c r="C54" s="286"/>
      <c r="D54" s="286"/>
      <c r="E54" s="287"/>
      <c r="F54" s="288"/>
      <c r="G54" s="287"/>
      <c r="H54" s="289"/>
      <c r="I54" s="289"/>
      <c r="J54" s="289" t="s">
        <v>183</v>
      </c>
      <c r="K54" s="290"/>
      <c r="L54" s="291"/>
      <c r="M54" s="292"/>
      <c r="N54" s="286"/>
      <c r="O54" s="293"/>
      <c r="P54" s="294"/>
      <c r="Q54" s="295"/>
      <c r="R54" s="296"/>
      <c r="S54" s="296"/>
      <c r="T54" s="297"/>
      <c r="U54" s="297"/>
    </row>
    <row r="55" spans="1:21" ht="15">
      <c r="A55" s="298" t="s">
        <v>184</v>
      </c>
      <c r="B55" s="298" t="s">
        <v>256</v>
      </c>
      <c r="C55" s="502" t="s">
        <v>257</v>
      </c>
      <c r="D55" s="503"/>
      <c r="E55" s="508" t="s">
        <v>185</v>
      </c>
      <c r="F55" s="508"/>
      <c r="G55" s="509"/>
      <c r="H55" s="510" t="s">
        <v>186</v>
      </c>
      <c r="I55" s="510"/>
      <c r="J55" s="511"/>
      <c r="K55" s="511"/>
      <c r="L55" s="298" t="s">
        <v>187</v>
      </c>
      <c r="M55" s="502" t="s">
        <v>188</v>
      </c>
      <c r="N55" s="503"/>
      <c r="O55" s="298" t="s">
        <v>189</v>
      </c>
      <c r="P55" s="298" t="s">
        <v>258</v>
      </c>
      <c r="Q55" s="298" t="s">
        <v>259</v>
      </c>
      <c r="R55" s="299"/>
      <c r="S55" s="299"/>
      <c r="T55" s="300"/>
      <c r="U55" s="301"/>
    </row>
    <row r="56" spans="1:21" ht="24">
      <c r="A56" s="302" t="s">
        <v>190</v>
      </c>
      <c r="B56" s="303"/>
      <c r="C56" s="304" t="s">
        <v>321</v>
      </c>
      <c r="D56" s="305" t="s">
        <v>322</v>
      </c>
      <c r="E56" s="306"/>
      <c r="F56" s="307" t="s">
        <v>323</v>
      </c>
      <c r="G56" s="306" t="s">
        <v>324</v>
      </c>
      <c r="H56" s="254" t="s">
        <v>325</v>
      </c>
      <c r="I56" s="308" t="s">
        <v>326</v>
      </c>
      <c r="J56" s="307" t="s">
        <v>327</v>
      </c>
      <c r="K56" s="435" t="s">
        <v>328</v>
      </c>
      <c r="L56" s="306" t="s">
        <v>329</v>
      </c>
      <c r="M56" s="309" t="s">
        <v>330</v>
      </c>
      <c r="N56" s="310" t="s">
        <v>331</v>
      </c>
      <c r="O56" s="311" t="s">
        <v>332</v>
      </c>
      <c r="P56" s="306"/>
      <c r="Q56" s="305"/>
      <c r="R56" s="312"/>
      <c r="S56" s="313"/>
      <c r="T56" s="306"/>
      <c r="U56" s="313"/>
    </row>
    <row r="57" spans="1:21" ht="45">
      <c r="A57" s="302" t="s">
        <v>191</v>
      </c>
      <c r="B57" s="303"/>
      <c r="C57" s="314" t="s">
        <v>333</v>
      </c>
      <c r="D57" s="305" t="s">
        <v>334</v>
      </c>
      <c r="E57" s="315"/>
      <c r="F57" s="316" t="s">
        <v>335</v>
      </c>
      <c r="G57" s="317" t="s">
        <v>336</v>
      </c>
      <c r="H57" s="253" t="s">
        <v>260</v>
      </c>
      <c r="I57" s="318" t="s">
        <v>337</v>
      </c>
      <c r="J57" s="316" t="s">
        <v>261</v>
      </c>
      <c r="K57" s="436" t="s">
        <v>338</v>
      </c>
      <c r="L57" s="317" t="s">
        <v>339</v>
      </c>
      <c r="M57" s="319" t="s">
        <v>340</v>
      </c>
      <c r="N57" s="320" t="s">
        <v>341</v>
      </c>
      <c r="O57" s="316" t="s">
        <v>262</v>
      </c>
      <c r="P57" s="252"/>
      <c r="Q57" s="305"/>
      <c r="R57" s="312"/>
      <c r="S57" s="313"/>
      <c r="T57" s="252"/>
      <c r="U57" s="313"/>
    </row>
    <row r="58" spans="1:21" ht="15">
      <c r="A58" s="302" t="s">
        <v>192</v>
      </c>
      <c r="B58" s="303"/>
      <c r="C58" s="314" t="s">
        <v>342</v>
      </c>
      <c r="D58" s="321" t="s">
        <v>343</v>
      </c>
      <c r="E58" s="315"/>
      <c r="F58" s="316" t="s">
        <v>344</v>
      </c>
      <c r="G58" s="317" t="s">
        <v>345</v>
      </c>
      <c r="H58" s="253" t="s">
        <v>346</v>
      </c>
      <c r="I58" s="322" t="s">
        <v>347</v>
      </c>
      <c r="J58" s="316" t="s">
        <v>348</v>
      </c>
      <c r="K58" s="436" t="s">
        <v>349</v>
      </c>
      <c r="L58" s="317" t="s">
        <v>350</v>
      </c>
      <c r="M58" s="319" t="s">
        <v>263</v>
      </c>
      <c r="N58" s="320" t="s">
        <v>351</v>
      </c>
      <c r="O58" s="316" t="s">
        <v>352</v>
      </c>
      <c r="P58" s="252"/>
      <c r="Q58" s="305"/>
      <c r="R58" s="312"/>
      <c r="S58" s="313"/>
      <c r="T58" s="252"/>
      <c r="U58" s="313"/>
    </row>
    <row r="59" spans="1:21" ht="108">
      <c r="A59" s="302" t="s">
        <v>193</v>
      </c>
      <c r="B59" s="323"/>
      <c r="C59" s="324" t="s">
        <v>264</v>
      </c>
      <c r="D59" s="325" t="s">
        <v>363</v>
      </c>
      <c r="E59" s="327"/>
      <c r="F59" s="328" t="s">
        <v>353</v>
      </c>
      <c r="G59" s="326" t="s">
        <v>354</v>
      </c>
      <c r="H59" s="329" t="s">
        <v>355</v>
      </c>
      <c r="I59" s="330" t="s">
        <v>356</v>
      </c>
      <c r="J59" s="329" t="s">
        <v>357</v>
      </c>
      <c r="K59" s="434" t="s">
        <v>360</v>
      </c>
      <c r="L59" s="331" t="s">
        <v>361</v>
      </c>
      <c r="M59" s="330" t="s">
        <v>358</v>
      </c>
      <c r="N59" s="332" t="s">
        <v>359</v>
      </c>
      <c r="O59" s="329" t="s">
        <v>357</v>
      </c>
      <c r="P59" s="255"/>
      <c r="Q59" s="305"/>
      <c r="R59" s="312"/>
      <c r="S59" s="313"/>
      <c r="T59" s="255"/>
      <c r="U59" s="313"/>
    </row>
    <row r="60" spans="1:21" ht="15">
      <c r="A60" s="302" t="s">
        <v>194</v>
      </c>
      <c r="B60" s="323"/>
      <c r="C60" s="333"/>
      <c r="D60" s="321"/>
      <c r="E60" s="327"/>
      <c r="F60" s="329" t="s">
        <v>195</v>
      </c>
      <c r="G60" s="317" t="s">
        <v>195</v>
      </c>
      <c r="H60" s="329" t="s">
        <v>195</v>
      </c>
      <c r="I60" s="322" t="s">
        <v>195</v>
      </c>
      <c r="J60" s="329" t="s">
        <v>195</v>
      </c>
      <c r="K60" s="436"/>
      <c r="L60" s="317" t="s">
        <v>196</v>
      </c>
      <c r="M60" s="322" t="s">
        <v>195</v>
      </c>
      <c r="N60" s="334" t="s">
        <v>196</v>
      </c>
      <c r="O60" s="329" t="s">
        <v>195</v>
      </c>
      <c r="P60" s="252"/>
      <c r="Q60" s="305"/>
      <c r="R60" s="312"/>
      <c r="S60" s="335"/>
      <c r="T60" s="252"/>
      <c r="U60" s="335"/>
    </row>
    <row r="61" spans="1:21" ht="15">
      <c r="A61" s="336" t="s">
        <v>197</v>
      </c>
      <c r="B61" s="323"/>
      <c r="C61" s="337"/>
      <c r="D61" s="338"/>
      <c r="E61" s="321"/>
      <c r="F61" s="341"/>
      <c r="G61" s="339"/>
      <c r="H61" s="229"/>
      <c r="I61" s="340"/>
      <c r="J61" s="341"/>
      <c r="K61" s="342"/>
      <c r="L61" s="342"/>
      <c r="M61" s="343"/>
      <c r="N61" s="344"/>
      <c r="O61" s="345"/>
      <c r="P61" s="230"/>
      <c r="Q61" s="346"/>
      <c r="R61" s="347"/>
      <c r="S61" s="335"/>
      <c r="T61" s="348"/>
      <c r="U61" s="335"/>
    </row>
    <row r="62" spans="1:21" ht="15">
      <c r="A62" s="349" t="s">
        <v>198</v>
      </c>
      <c r="B62" s="323"/>
      <c r="C62" s="337"/>
      <c r="D62" s="338"/>
      <c r="E62" s="321"/>
      <c r="F62" s="353"/>
      <c r="G62" s="351"/>
      <c r="H62" s="229"/>
      <c r="I62" s="352"/>
      <c r="J62" s="353"/>
      <c r="K62" s="354"/>
      <c r="L62" s="354"/>
      <c r="M62" s="352"/>
      <c r="N62" s="355"/>
      <c r="O62" s="356"/>
      <c r="P62" s="228"/>
      <c r="Q62" s="357"/>
      <c r="R62" s="358"/>
      <c r="S62" s="335"/>
      <c r="T62" s="348"/>
      <c r="U62" s="335"/>
    </row>
    <row r="63" spans="1:21" ht="15">
      <c r="A63" s="349" t="s">
        <v>199</v>
      </c>
      <c r="B63" s="323"/>
      <c r="C63" s="337"/>
      <c r="D63" s="338"/>
      <c r="E63" s="321"/>
      <c r="F63" s="353"/>
      <c r="G63" s="351"/>
      <c r="H63" s="229"/>
      <c r="I63" s="352"/>
      <c r="J63" s="353"/>
      <c r="K63" s="354"/>
      <c r="L63" s="354"/>
      <c r="M63" s="352"/>
      <c r="N63" s="355"/>
      <c r="O63" s="356"/>
      <c r="P63" s="228"/>
      <c r="Q63" s="357"/>
      <c r="R63" s="358"/>
      <c r="S63" s="335"/>
      <c r="T63" s="348"/>
      <c r="U63" s="335"/>
    </row>
    <row r="64" spans="1:21" ht="15">
      <c r="A64" s="349" t="s">
        <v>200</v>
      </c>
      <c r="B64" s="323"/>
      <c r="C64" s="337"/>
      <c r="D64" s="338"/>
      <c r="E64" s="321"/>
      <c r="F64" s="353"/>
      <c r="G64" s="350"/>
      <c r="H64" s="229"/>
      <c r="I64" s="352"/>
      <c r="J64" s="353"/>
      <c r="K64" s="354"/>
      <c r="L64" s="354"/>
      <c r="M64" s="359"/>
      <c r="N64" s="360"/>
      <c r="O64" s="361"/>
      <c r="P64" s="228"/>
      <c r="Q64" s="357"/>
      <c r="R64" s="358"/>
      <c r="S64" s="335"/>
      <c r="T64" s="348"/>
      <c r="U64" s="335"/>
    </row>
    <row r="65" spans="1:21" ht="15">
      <c r="A65" s="362" t="s">
        <v>201</v>
      </c>
      <c r="B65" s="323"/>
      <c r="C65" s="337"/>
      <c r="D65" s="363"/>
      <c r="E65" s="321"/>
      <c r="F65" s="365"/>
      <c r="G65" s="364"/>
      <c r="H65" s="229"/>
      <c r="I65" s="352"/>
      <c r="J65" s="365"/>
      <c r="K65" s="437"/>
      <c r="L65" s="354"/>
      <c r="M65" s="352"/>
      <c r="N65" s="355"/>
      <c r="O65" s="356"/>
      <c r="P65" s="228"/>
      <c r="Q65" s="357"/>
      <c r="R65" s="366"/>
      <c r="S65" s="367"/>
      <c r="T65" s="368"/>
      <c r="U65" s="367"/>
    </row>
    <row r="66" spans="1:21" ht="15">
      <c r="A66" s="362" t="s">
        <v>202</v>
      </c>
      <c r="B66" s="323"/>
      <c r="C66" s="337"/>
      <c r="D66" s="363"/>
      <c r="E66" s="321"/>
      <c r="F66" s="365"/>
      <c r="G66" s="369"/>
      <c r="H66" s="229"/>
      <c r="I66" s="352"/>
      <c r="J66" s="365"/>
      <c r="K66" s="437"/>
      <c r="L66" s="354"/>
      <c r="M66" s="352"/>
      <c r="N66" s="355"/>
      <c r="O66" s="356"/>
      <c r="P66" s="228"/>
      <c r="Q66" s="357"/>
      <c r="R66" s="366"/>
      <c r="S66" s="367"/>
      <c r="T66" s="368"/>
      <c r="U66" s="367"/>
    </row>
    <row r="67" spans="1:21" ht="15">
      <c r="A67" s="362" t="s">
        <v>203</v>
      </c>
      <c r="B67" s="323"/>
      <c r="C67" s="370"/>
      <c r="D67" s="371"/>
      <c r="E67" s="321"/>
      <c r="F67" s="374"/>
      <c r="G67" s="372"/>
      <c r="H67" s="231"/>
      <c r="I67" s="373"/>
      <c r="J67" s="374"/>
      <c r="K67" s="438"/>
      <c r="L67" s="375"/>
      <c r="M67" s="373"/>
      <c r="N67" s="376"/>
      <c r="O67" s="377"/>
      <c r="P67" s="232"/>
      <c r="Q67" s="357"/>
      <c r="R67" s="366"/>
      <c r="S67" s="367"/>
      <c r="T67" s="368"/>
      <c r="U67" s="367"/>
    </row>
    <row r="68" spans="1:21" ht="15.75">
      <c r="A68" s="378" t="s">
        <v>265</v>
      </c>
      <c r="B68" s="379"/>
      <c r="C68" s="380"/>
      <c r="D68" s="381"/>
      <c r="E68" s="381"/>
      <c r="F68" s="383">
        <v>100</v>
      </c>
      <c r="G68" s="382">
        <v>465</v>
      </c>
      <c r="H68" s="383">
        <v>220</v>
      </c>
      <c r="I68" s="384">
        <v>1000</v>
      </c>
      <c r="J68" s="383">
        <v>170</v>
      </c>
      <c r="K68" s="439">
        <v>1500</v>
      </c>
      <c r="L68" s="382">
        <f>(L70/3)</f>
        <v>1200</v>
      </c>
      <c r="M68" s="384">
        <v>940</v>
      </c>
      <c r="N68" s="385">
        <v>1200</v>
      </c>
      <c r="O68" s="383">
        <v>300</v>
      </c>
      <c r="P68" s="257"/>
      <c r="Q68" s="386"/>
      <c r="R68" s="387"/>
      <c r="S68" s="388"/>
      <c r="T68" s="257"/>
      <c r="U68" s="388"/>
    </row>
    <row r="69" spans="1:21" ht="15.75">
      <c r="A69" s="389" t="s">
        <v>204</v>
      </c>
      <c r="B69" s="390"/>
      <c r="C69" s="391"/>
      <c r="D69" s="392"/>
      <c r="E69" s="394"/>
      <c r="F69" s="395">
        <v>6</v>
      </c>
      <c r="G69" s="393">
        <v>3</v>
      </c>
      <c r="H69" s="395">
        <v>8</v>
      </c>
      <c r="I69" s="396">
        <v>4</v>
      </c>
      <c r="J69" s="395">
        <v>7</v>
      </c>
      <c r="K69" s="440">
        <v>1</v>
      </c>
      <c r="L69" s="393">
        <v>3</v>
      </c>
      <c r="M69" s="396">
        <v>3</v>
      </c>
      <c r="N69" s="397">
        <v>4</v>
      </c>
      <c r="O69" s="395">
        <v>7</v>
      </c>
      <c r="P69" s="393"/>
      <c r="Q69" s="398"/>
      <c r="R69" s="399"/>
      <c r="S69" s="400"/>
      <c r="T69" s="393"/>
      <c r="U69" s="400"/>
    </row>
    <row r="70" spans="1:21" ht="16.5" thickBot="1">
      <c r="A70" s="401" t="s">
        <v>266</v>
      </c>
      <c r="B70" s="402"/>
      <c r="C70" s="403"/>
      <c r="D70" s="404"/>
      <c r="E70" s="406"/>
      <c r="F70" s="383">
        <f>(F69*F68)-100</f>
        <v>500</v>
      </c>
      <c r="G70" s="405">
        <f>(G68*3)</f>
        <v>1395</v>
      </c>
      <c r="H70" s="383">
        <f>(8*H68)-110</f>
        <v>1650</v>
      </c>
      <c r="I70" s="384">
        <f>(I68*I69)-500</f>
        <v>3500</v>
      </c>
      <c r="J70" s="383">
        <f>(J69*J68)</f>
        <v>1190</v>
      </c>
      <c r="K70" s="439">
        <v>1500</v>
      </c>
      <c r="L70" s="382">
        <v>3600</v>
      </c>
      <c r="M70" s="384">
        <f>(M68*M69)</f>
        <v>2820</v>
      </c>
      <c r="N70" s="385">
        <f>(N68*N69)</f>
        <v>4800</v>
      </c>
      <c r="O70" s="383">
        <f>(O68*O69)-(2*150)</f>
        <v>1800</v>
      </c>
      <c r="P70" s="257"/>
      <c r="Q70" s="407"/>
      <c r="R70" s="408"/>
      <c r="S70" s="409"/>
      <c r="T70" s="257"/>
      <c r="U70" s="409"/>
    </row>
    <row r="71" spans="1:21" ht="15.75">
      <c r="A71" s="401" t="s">
        <v>267</v>
      </c>
      <c r="B71" s="402"/>
      <c r="C71" s="403"/>
      <c r="D71" s="256">
        <f>(31000*3)</f>
        <v>93000</v>
      </c>
      <c r="E71" s="411"/>
      <c r="F71" s="412">
        <f aca="true" t="shared" si="0" ref="F71:O71">(F70*300)</f>
        <v>150000</v>
      </c>
      <c r="G71" s="410">
        <f t="shared" si="0"/>
        <v>418500</v>
      </c>
      <c r="H71" s="412">
        <f t="shared" si="0"/>
        <v>495000</v>
      </c>
      <c r="I71" s="413">
        <f t="shared" si="0"/>
        <v>1050000</v>
      </c>
      <c r="J71" s="412">
        <f t="shared" si="0"/>
        <v>357000</v>
      </c>
      <c r="K71" s="441">
        <f t="shared" si="0"/>
        <v>450000</v>
      </c>
      <c r="L71" s="410">
        <f t="shared" si="0"/>
        <v>1080000</v>
      </c>
      <c r="M71" s="413">
        <f t="shared" si="0"/>
        <v>846000</v>
      </c>
      <c r="N71" s="414">
        <f t="shared" si="0"/>
        <v>1440000</v>
      </c>
      <c r="O71" s="412">
        <f t="shared" si="0"/>
        <v>540000</v>
      </c>
      <c r="P71" s="259"/>
      <c r="Q71" s="258"/>
      <c r="R71" s="258"/>
      <c r="S71" s="258"/>
      <c r="T71" s="259"/>
      <c r="U71" s="258">
        <f>SUM(D71:T71)</f>
        <v>6919500</v>
      </c>
    </row>
    <row r="73" spans="1:8" ht="15.75" thickBot="1">
      <c r="A73" s="451"/>
      <c r="B73" s="451"/>
      <c r="C73" s="451"/>
      <c r="D73" s="451"/>
      <c r="E73" s="451"/>
      <c r="F73" s="451"/>
      <c r="G73" s="472"/>
      <c r="H73" s="451"/>
    </row>
    <row r="74" spans="1:8" ht="16.5" thickBot="1">
      <c r="A74" s="456"/>
      <c r="B74" s="452"/>
      <c r="C74" s="457"/>
      <c r="D74" s="457"/>
      <c r="E74" s="457"/>
      <c r="F74" s="469"/>
      <c r="G74" s="473"/>
      <c r="H74" s="478"/>
    </row>
    <row r="75" spans="1:8" ht="15">
      <c r="A75" s="454"/>
      <c r="B75" s="454"/>
      <c r="C75" s="454"/>
      <c r="D75" s="454"/>
      <c r="E75" s="454"/>
      <c r="F75" s="470"/>
      <c r="G75" s="468"/>
      <c r="H75" s="476"/>
    </row>
    <row r="76" spans="1:8" ht="15">
      <c r="A76" s="454"/>
      <c r="B76" s="454"/>
      <c r="C76" s="454"/>
      <c r="D76" s="454"/>
      <c r="E76" s="454"/>
      <c r="F76" s="471"/>
      <c r="G76" s="468"/>
      <c r="H76" s="476"/>
    </row>
    <row r="77" spans="1:8" ht="15">
      <c r="A77" s="454"/>
      <c r="B77" s="454"/>
      <c r="C77" s="454"/>
      <c r="D77" s="454"/>
      <c r="E77" s="454"/>
      <c r="F77" s="471"/>
      <c r="G77" s="468"/>
      <c r="H77" s="476"/>
    </row>
    <row r="78" spans="1:8" ht="18.75">
      <c r="A78" s="454"/>
      <c r="B78" s="454"/>
      <c r="C78" s="454"/>
      <c r="D78" s="454"/>
      <c r="E78" s="454"/>
      <c r="F78" s="471"/>
      <c r="G78" s="468"/>
      <c r="H78" s="477"/>
    </row>
    <row r="79" spans="1:8" ht="15">
      <c r="A79" s="454"/>
      <c r="B79" s="454"/>
      <c r="C79" s="454"/>
      <c r="D79" s="454"/>
      <c r="E79" s="454"/>
      <c r="F79" s="471"/>
      <c r="G79" s="468"/>
      <c r="H79" s="480"/>
    </row>
    <row r="80" spans="1:8" ht="15">
      <c r="A80" s="454"/>
      <c r="B80" s="454"/>
      <c r="C80" s="454"/>
      <c r="D80" s="454"/>
      <c r="E80" s="454"/>
      <c r="F80" s="471"/>
      <c r="G80" s="468"/>
      <c r="H80" s="476"/>
    </row>
    <row r="81" spans="1:8" ht="18.75">
      <c r="A81" s="454"/>
      <c r="B81" s="454"/>
      <c r="C81" s="454"/>
      <c r="D81" s="454"/>
      <c r="E81" s="454"/>
      <c r="F81" s="453"/>
      <c r="G81" s="468"/>
      <c r="H81" s="477"/>
    </row>
    <row r="82" spans="1:8" ht="15">
      <c r="A82" s="454"/>
      <c r="B82" s="454"/>
      <c r="C82" s="454"/>
      <c r="D82" s="454"/>
      <c r="E82" s="454"/>
      <c r="F82" s="453"/>
      <c r="G82" s="468"/>
      <c r="H82" s="476"/>
    </row>
    <row r="83" spans="1:8" ht="18.75">
      <c r="A83" s="454"/>
      <c r="B83" s="454"/>
      <c r="C83" s="454"/>
      <c r="D83" s="454"/>
      <c r="E83" s="454"/>
      <c r="F83" s="453"/>
      <c r="G83" s="468"/>
      <c r="H83" s="477"/>
    </row>
    <row r="84" spans="1:8" ht="15">
      <c r="A84" s="454"/>
      <c r="B84" s="454"/>
      <c r="C84" s="454"/>
      <c r="D84" s="454"/>
      <c r="E84" s="454"/>
      <c r="F84" s="453"/>
      <c r="G84" s="468"/>
      <c r="H84" s="476"/>
    </row>
    <row r="85" spans="1:8" ht="15">
      <c r="A85" s="454"/>
      <c r="B85" s="454"/>
      <c r="C85" s="454"/>
      <c r="D85" s="454"/>
      <c r="E85" s="454"/>
      <c r="F85" s="453"/>
      <c r="G85" s="468"/>
      <c r="H85" s="476"/>
    </row>
    <row r="86" spans="1:8" ht="15">
      <c r="A86" s="454"/>
      <c r="B86" s="454"/>
      <c r="C86" s="454"/>
      <c r="D86" s="454"/>
      <c r="E86" s="454"/>
      <c r="F86" s="453"/>
      <c r="G86" s="468"/>
      <c r="H86" s="476"/>
    </row>
    <row r="87" spans="1:8" ht="15">
      <c r="A87" s="454"/>
      <c r="B87" s="454"/>
      <c r="C87" s="454"/>
      <c r="D87" s="454"/>
      <c r="E87" s="454"/>
      <c r="F87" s="453"/>
      <c r="G87" s="468"/>
      <c r="H87" s="479"/>
    </row>
    <row r="88" spans="1:8" ht="18.75">
      <c r="A88" s="454"/>
      <c r="B88" s="454"/>
      <c r="C88" s="454"/>
      <c r="D88" s="454"/>
      <c r="E88" s="454"/>
      <c r="F88" s="471"/>
      <c r="G88" s="468"/>
      <c r="H88" s="477"/>
    </row>
    <row r="89" spans="1:8" ht="18.75">
      <c r="A89" s="454"/>
      <c r="B89" s="454"/>
      <c r="C89" s="454"/>
      <c r="D89" s="454"/>
      <c r="E89" s="454"/>
      <c r="F89" s="453"/>
      <c r="G89" s="468"/>
      <c r="H89" s="477"/>
    </row>
    <row r="90" spans="1:8" ht="15">
      <c r="A90" s="454"/>
      <c r="B90" s="454"/>
      <c r="C90" s="454"/>
      <c r="D90" s="454"/>
      <c r="E90" s="454"/>
      <c r="F90" s="453"/>
      <c r="G90" s="468"/>
      <c r="H90" s="476"/>
    </row>
    <row r="91" spans="1:8" ht="15">
      <c r="A91" s="454"/>
      <c r="B91" s="454"/>
      <c r="C91" s="454"/>
      <c r="D91" s="454"/>
      <c r="E91" s="454"/>
      <c r="F91" s="453"/>
      <c r="G91" s="468"/>
      <c r="H91" s="476"/>
    </row>
    <row r="92" spans="1:8" ht="18.75">
      <c r="A92" s="454"/>
      <c r="B92" s="454"/>
      <c r="C92" s="454"/>
      <c r="D92" s="454"/>
      <c r="E92" s="454"/>
      <c r="F92" s="453"/>
      <c r="G92" s="468"/>
      <c r="H92" s="477"/>
    </row>
    <row r="93" spans="1:8" ht="15">
      <c r="A93" s="454"/>
      <c r="B93" s="454"/>
      <c r="C93" s="454"/>
      <c r="D93" s="454"/>
      <c r="E93" s="454"/>
      <c r="F93" s="453"/>
      <c r="G93" s="468"/>
      <c r="H93" s="479"/>
    </row>
    <row r="94" spans="1:8" ht="15">
      <c r="A94" s="454"/>
      <c r="B94" s="454"/>
      <c r="C94" s="454"/>
      <c r="D94" s="454"/>
      <c r="E94" s="454"/>
      <c r="F94" s="453"/>
      <c r="G94" s="468"/>
      <c r="H94" s="476"/>
    </row>
    <row r="95" spans="1:8" ht="15">
      <c r="A95" s="454"/>
      <c r="B95" s="454"/>
      <c r="C95" s="454"/>
      <c r="D95" s="454"/>
      <c r="E95" s="454"/>
      <c r="F95" s="453"/>
      <c r="G95" s="468"/>
      <c r="H95" s="476"/>
    </row>
    <row r="96" spans="1:8" ht="18.75">
      <c r="A96" s="454"/>
      <c r="B96" s="454"/>
      <c r="C96" s="454"/>
      <c r="D96" s="454"/>
      <c r="E96" s="454"/>
      <c r="F96" s="453"/>
      <c r="G96" s="468"/>
      <c r="H96" s="477"/>
    </row>
    <row r="97" spans="1:8" ht="15">
      <c r="A97" s="454"/>
      <c r="B97" s="454"/>
      <c r="C97" s="454"/>
      <c r="D97" s="454"/>
      <c r="E97" s="454"/>
      <c r="F97" s="471"/>
      <c r="G97" s="468"/>
      <c r="H97" s="476"/>
    </row>
    <row r="98" spans="1:8" ht="15">
      <c r="A98" s="454"/>
      <c r="B98" s="454"/>
      <c r="C98" s="454"/>
      <c r="D98" s="454"/>
      <c r="E98" s="454"/>
      <c r="F98" s="453"/>
      <c r="G98" s="468"/>
      <c r="H98" s="476"/>
    </row>
    <row r="99" spans="1:8" ht="15">
      <c r="A99" s="454"/>
      <c r="B99" s="454"/>
      <c r="C99" s="454"/>
      <c r="D99" s="454"/>
      <c r="E99" s="454"/>
      <c r="F99" s="453"/>
      <c r="G99" s="468"/>
      <c r="H99" s="476"/>
    </row>
    <row r="100" spans="1:8" ht="15">
      <c r="A100" s="454"/>
      <c r="B100" s="454"/>
      <c r="C100" s="454"/>
      <c r="D100" s="454"/>
      <c r="E100" s="454"/>
      <c r="F100" s="453"/>
      <c r="G100" s="468"/>
      <c r="H100" s="476"/>
    </row>
    <row r="101" spans="1:8" ht="15.75" thickBot="1">
      <c r="A101" s="451"/>
      <c r="B101" s="451"/>
      <c r="C101" s="451"/>
      <c r="D101" s="451"/>
      <c r="E101" s="451"/>
      <c r="F101" s="451"/>
      <c r="G101" s="465"/>
      <c r="H101" s="451"/>
    </row>
    <row r="102" spans="1:8" ht="16.5" thickBot="1">
      <c r="A102" s="466"/>
      <c r="B102" s="452"/>
      <c r="C102" s="451"/>
      <c r="D102" s="451"/>
      <c r="E102" s="451"/>
      <c r="F102" s="451"/>
      <c r="G102" s="451"/>
      <c r="H102" s="478"/>
    </row>
    <row r="103" spans="1:8" ht="15">
      <c r="A103" s="455"/>
      <c r="B103" s="454"/>
      <c r="C103" s="454"/>
      <c r="D103" s="454"/>
      <c r="E103" s="454"/>
      <c r="F103" s="453"/>
      <c r="G103" s="468"/>
      <c r="H103" s="476"/>
    </row>
    <row r="104" spans="1:8" ht="15">
      <c r="A104" s="454"/>
      <c r="B104" s="454"/>
      <c r="C104" s="454"/>
      <c r="D104" s="454"/>
      <c r="E104" s="454"/>
      <c r="F104" s="453"/>
      <c r="G104" s="468"/>
      <c r="H104" s="476"/>
    </row>
    <row r="105" spans="1:8" ht="15">
      <c r="A105" s="454"/>
      <c r="B105" s="454"/>
      <c r="C105" s="454"/>
      <c r="D105" s="454"/>
      <c r="E105" s="454"/>
      <c r="F105" s="453"/>
      <c r="G105" s="468"/>
      <c r="H105" s="476"/>
    </row>
    <row r="106" spans="1:8" ht="15.75" thickBot="1">
      <c r="A106" s="451"/>
      <c r="B106" s="451"/>
      <c r="C106" s="451"/>
      <c r="D106" s="451"/>
      <c r="E106" s="451"/>
      <c r="F106" s="464"/>
      <c r="G106" s="465"/>
      <c r="H106" s="451"/>
    </row>
    <row r="107" spans="1:8" ht="15.75">
      <c r="A107" s="467"/>
      <c r="B107" s="475"/>
      <c r="C107" s="451"/>
      <c r="D107" s="451"/>
      <c r="E107" s="451"/>
      <c r="F107" s="464"/>
      <c r="G107" s="451"/>
      <c r="H107" s="478"/>
    </row>
    <row r="108" spans="1:8" ht="15.75">
      <c r="A108" s="458"/>
      <c r="B108" s="459"/>
      <c r="C108" s="460"/>
      <c r="D108" s="459"/>
      <c r="E108" s="454"/>
      <c r="F108" s="453"/>
      <c r="G108" s="468"/>
      <c r="H108" s="476"/>
    </row>
    <row r="109" spans="1:8" ht="15">
      <c r="A109" s="462"/>
      <c r="B109" s="461"/>
      <c r="C109" s="463"/>
      <c r="D109" s="461"/>
      <c r="E109" s="454"/>
      <c r="F109" s="453"/>
      <c r="G109" s="468"/>
      <c r="H109" s="476"/>
    </row>
    <row r="110" spans="1:8" ht="15">
      <c r="A110" s="461"/>
      <c r="B110" s="461"/>
      <c r="C110" s="463"/>
      <c r="D110" s="461"/>
      <c r="E110" s="454"/>
      <c r="F110" s="453"/>
      <c r="G110" s="468"/>
      <c r="H110" s="476"/>
    </row>
    <row r="111" spans="1:8" ht="18.75">
      <c r="A111" s="462"/>
      <c r="B111" s="461"/>
      <c r="C111" s="463"/>
      <c r="D111" s="461"/>
      <c r="E111" s="454"/>
      <c r="F111" s="453"/>
      <c r="G111" s="468"/>
      <c r="H111" s="477"/>
    </row>
    <row r="112" spans="1:8" ht="15">
      <c r="A112" s="461"/>
      <c r="B112" s="461"/>
      <c r="C112" s="463"/>
      <c r="D112" s="461"/>
      <c r="E112" s="454"/>
      <c r="F112" s="453"/>
      <c r="G112" s="468"/>
      <c r="H112" s="476"/>
    </row>
    <row r="113" spans="1:8" ht="18.75">
      <c r="A113" s="461"/>
      <c r="B113" s="461"/>
      <c r="C113" s="463"/>
      <c r="D113" s="461"/>
      <c r="E113" s="454"/>
      <c r="F113" s="453"/>
      <c r="G113" s="468"/>
      <c r="H113" s="477"/>
    </row>
    <row r="114" spans="1:8" ht="15">
      <c r="A114" s="474"/>
      <c r="B114" s="461"/>
      <c r="C114" s="463"/>
      <c r="D114" s="461"/>
      <c r="E114" s="454"/>
      <c r="F114" s="453"/>
      <c r="G114" s="468"/>
      <c r="H114" s="476"/>
    </row>
    <row r="115" spans="1:8" ht="15">
      <c r="A115" s="462"/>
      <c r="B115" s="461"/>
      <c r="C115" s="463"/>
      <c r="D115" s="461"/>
      <c r="E115" s="454"/>
      <c r="F115" s="453"/>
      <c r="G115" s="468"/>
      <c r="H115" s="476"/>
    </row>
    <row r="116" ht="12.75">
      <c r="G116" s="481"/>
    </row>
  </sheetData>
  <sheetProtection/>
  <protectedRanges>
    <protectedRange sqref="C54:C61 C13:C15" name="Tartom?ny2"/>
    <protectedRange sqref="C9:C11 C2" name="Tartom?ny2_1"/>
  </protectedRanges>
  <mergeCells count="8">
    <mergeCell ref="D14:F14"/>
    <mergeCell ref="H14:J14"/>
    <mergeCell ref="M55:N55"/>
    <mergeCell ref="J34:K34"/>
    <mergeCell ref="K36:L36"/>
    <mergeCell ref="C55:D55"/>
    <mergeCell ref="E55:G55"/>
    <mergeCell ref="H55:K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PageLayoutView="0" workbookViewId="0" topLeftCell="B1">
      <selection activeCell="B13" sqref="B13"/>
    </sheetView>
  </sheetViews>
  <sheetFormatPr defaultColWidth="9.140625" defaultRowHeight="12.75"/>
  <cols>
    <col min="2" max="2" width="105.57421875" style="0" customWidth="1"/>
    <col min="3" max="3" width="18.140625" style="42" customWidth="1"/>
    <col min="4" max="4" width="8.8515625" style="0" bestFit="1" customWidth="1"/>
    <col min="7" max="8" width="8.8515625" style="0" bestFit="1" customWidth="1"/>
  </cols>
  <sheetData>
    <row r="1" spans="1:3" ht="21" thickBot="1">
      <c r="A1" s="30" t="s">
        <v>19</v>
      </c>
      <c r="B1" s="31" t="s">
        <v>11</v>
      </c>
      <c r="C1" s="47">
        <f>SUM(C2:C21)</f>
        <v>5795000</v>
      </c>
    </row>
    <row r="2" spans="1:3" ht="20.25">
      <c r="A2" s="19">
        <v>1</v>
      </c>
      <c r="B2" s="20" t="s">
        <v>83</v>
      </c>
      <c r="C2" s="48">
        <v>200000</v>
      </c>
    </row>
    <row r="3" spans="1:3" ht="20.25">
      <c r="A3" s="22">
        <v>2</v>
      </c>
      <c r="B3" s="23" t="s">
        <v>227</v>
      </c>
      <c r="C3" s="49">
        <v>10000</v>
      </c>
    </row>
    <row r="4" spans="1:3" ht="20.25">
      <c r="A4" s="22">
        <v>3</v>
      </c>
      <c r="B4" s="37" t="s">
        <v>81</v>
      </c>
      <c r="C4" s="49">
        <v>0</v>
      </c>
    </row>
    <row r="5" spans="1:8" ht="20.25">
      <c r="A5" s="22">
        <v>4</v>
      </c>
      <c r="B5" s="23" t="s">
        <v>82</v>
      </c>
      <c r="C5" s="48">
        <v>0</v>
      </c>
      <c r="H5" s="65" t="s">
        <v>112</v>
      </c>
    </row>
    <row r="6" spans="1:8" ht="20.25">
      <c r="A6" s="22">
        <v>5</v>
      </c>
      <c r="B6" s="23" t="s">
        <v>228</v>
      </c>
      <c r="C6" s="49">
        <v>300000</v>
      </c>
      <c r="D6" s="42">
        <f>C6</f>
        <v>300000</v>
      </c>
      <c r="E6" s="115" t="s">
        <v>111</v>
      </c>
      <c r="F6" s="42"/>
      <c r="G6" s="42">
        <f>D6*0.5</f>
        <v>150000</v>
      </c>
      <c r="H6" s="42">
        <f>D6*0.5</f>
        <v>150000</v>
      </c>
    </row>
    <row r="7" spans="1:8" ht="20.25">
      <c r="A7" s="22">
        <v>6</v>
      </c>
      <c r="B7" s="23" t="s">
        <v>229</v>
      </c>
      <c r="C7" s="49">
        <f>90000*0</f>
        <v>0</v>
      </c>
      <c r="D7" s="42">
        <f>C7</f>
        <v>0</v>
      </c>
      <c r="E7" s="115" t="s">
        <v>231</v>
      </c>
      <c r="F7" s="42"/>
      <c r="G7" s="42">
        <f>D7*0.6</f>
        <v>0</v>
      </c>
      <c r="H7" s="42">
        <f>D7*0.4</f>
        <v>0</v>
      </c>
    </row>
    <row r="8" spans="1:8" ht="20.25">
      <c r="A8" s="22"/>
      <c r="B8" s="23"/>
      <c r="C8" s="49"/>
      <c r="D8" s="42"/>
      <c r="E8" s="115" t="s">
        <v>111</v>
      </c>
      <c r="F8" s="42"/>
      <c r="G8" s="42">
        <f>D8*0.7</f>
        <v>0</v>
      </c>
      <c r="H8" s="42">
        <f>D8*0.5</f>
        <v>0</v>
      </c>
    </row>
    <row r="9" spans="1:8" ht="20.25">
      <c r="A9" s="22">
        <v>7</v>
      </c>
      <c r="B9" s="23" t="s">
        <v>230</v>
      </c>
      <c r="C9" s="49">
        <f>D9</f>
        <v>4095000</v>
      </c>
      <c r="D9" s="42">
        <f>15*(273000)</f>
        <v>4095000</v>
      </c>
      <c r="E9" s="115" t="s">
        <v>110</v>
      </c>
      <c r="F9" s="42"/>
      <c r="G9" s="42">
        <f>D9*0.7</f>
        <v>2866500</v>
      </c>
      <c r="H9" s="42">
        <f>D9*0.3</f>
        <v>1228500</v>
      </c>
    </row>
    <row r="10" spans="1:8" ht="20.25">
      <c r="A10" s="22">
        <v>8</v>
      </c>
      <c r="B10" s="23" t="s">
        <v>268</v>
      </c>
      <c r="C10" s="49">
        <v>0</v>
      </c>
      <c r="D10" s="42">
        <f>C10</f>
        <v>0</v>
      </c>
      <c r="E10" s="115" t="s">
        <v>110</v>
      </c>
      <c r="F10" s="42"/>
      <c r="G10" s="42">
        <f>D10*0.7</f>
        <v>0</v>
      </c>
      <c r="H10" s="42">
        <f>D10*0.3</f>
        <v>0</v>
      </c>
    </row>
    <row r="11" spans="1:8" ht="20.25">
      <c r="A11" s="22">
        <v>9</v>
      </c>
      <c r="B11" s="23" t="s">
        <v>125</v>
      </c>
      <c r="C11" s="49">
        <v>0</v>
      </c>
      <c r="D11" s="42"/>
      <c r="E11" s="42"/>
      <c r="F11" s="42"/>
      <c r="G11" s="42"/>
      <c r="H11" s="42">
        <f>D11*0.3</f>
        <v>0</v>
      </c>
    </row>
    <row r="12" spans="1:8" ht="20.25">
      <c r="A12" s="22">
        <v>10</v>
      </c>
      <c r="B12" s="23" t="s">
        <v>269</v>
      </c>
      <c r="C12" s="49">
        <v>0</v>
      </c>
      <c r="D12" s="42">
        <f>C12</f>
        <v>0</v>
      </c>
      <c r="E12" s="115" t="s">
        <v>110</v>
      </c>
      <c r="F12" s="42"/>
      <c r="G12" s="42">
        <f>D12*0.7</f>
        <v>0</v>
      </c>
      <c r="H12" s="42">
        <f>D12*0.3</f>
        <v>0</v>
      </c>
    </row>
    <row r="13" spans="1:8" ht="20.25">
      <c r="A13" s="22">
        <v>11</v>
      </c>
      <c r="B13" s="26"/>
      <c r="C13" s="49"/>
      <c r="H13" s="100">
        <f>SUM(H6:H12)</f>
        <v>1378500</v>
      </c>
    </row>
    <row r="14" spans="1:3" ht="20.25">
      <c r="A14" s="22">
        <v>12</v>
      </c>
      <c r="B14" s="26" t="s">
        <v>270</v>
      </c>
      <c r="C14" s="49">
        <f>119000*10</f>
        <v>1190000</v>
      </c>
    </row>
    <row r="15" spans="1:3" ht="20.25">
      <c r="A15" s="22">
        <v>13</v>
      </c>
      <c r="B15" s="26"/>
      <c r="C15" s="49"/>
    </row>
    <row r="16" spans="1:3" ht="20.25">
      <c r="A16" s="22">
        <v>14</v>
      </c>
      <c r="B16" s="26"/>
      <c r="C16" s="49"/>
    </row>
    <row r="17" spans="1:3" ht="20.25">
      <c r="A17" s="22">
        <v>15</v>
      </c>
      <c r="B17" s="26"/>
      <c r="C17" s="49"/>
    </row>
    <row r="18" spans="1:3" ht="20.25">
      <c r="A18" s="22">
        <v>16</v>
      </c>
      <c r="B18" s="26"/>
      <c r="C18" s="49"/>
    </row>
    <row r="19" spans="1:3" ht="20.25">
      <c r="A19" s="22">
        <v>17</v>
      </c>
      <c r="B19" s="26"/>
      <c r="C19" s="49"/>
    </row>
    <row r="20" spans="1:3" ht="20.25">
      <c r="A20" s="22">
        <v>18</v>
      </c>
      <c r="B20" s="26"/>
      <c r="C20" s="49"/>
    </row>
    <row r="21" spans="1:3" ht="21" thickBot="1">
      <c r="A21" s="27">
        <v>19</v>
      </c>
      <c r="B21" s="28"/>
      <c r="C21" s="50"/>
    </row>
  </sheetData>
  <sheetProtection/>
  <protectedRanges>
    <protectedRange sqref="C2:C3 C15:C21 D10 D12 C6:C13" name="Tartom?ny2"/>
    <protectedRange sqref="C4" name="Tartom?ny2_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40"/>
  <sheetViews>
    <sheetView tabSelected="1" zoomScale="75" zoomScaleNormal="75" zoomScalePageLayoutView="0" workbookViewId="0" topLeftCell="A1">
      <selection activeCell="F12" sqref="F12"/>
    </sheetView>
  </sheetViews>
  <sheetFormatPr defaultColWidth="9.140625" defaultRowHeight="12.75"/>
  <cols>
    <col min="1" max="1" width="7.00390625" style="1" bestFit="1" customWidth="1"/>
    <col min="2" max="2" width="55.00390625" style="0" customWidth="1"/>
    <col min="3" max="3" width="27.8515625" style="16" customWidth="1"/>
    <col min="4" max="4" width="5.28125" style="0" customWidth="1"/>
    <col min="5" max="5" width="11.00390625" style="0" bestFit="1" customWidth="1"/>
    <col min="6" max="6" width="21.7109375" style="0" bestFit="1" customWidth="1"/>
    <col min="7" max="7" width="27.28125" style="16" bestFit="1" customWidth="1"/>
  </cols>
  <sheetData>
    <row r="1" spans="1:3" ht="20.25">
      <c r="A1" s="488" t="s">
        <v>400</v>
      </c>
      <c r="B1" s="489"/>
      <c r="C1" s="490"/>
    </row>
    <row r="2" spans="1:3" ht="20.25">
      <c r="A2" s="491"/>
      <c r="B2" s="492"/>
      <c r="C2" s="493"/>
    </row>
    <row r="3" spans="1:3" ht="20.25">
      <c r="A3" s="33" t="s">
        <v>12</v>
      </c>
      <c r="B3" s="484" t="s">
        <v>399</v>
      </c>
      <c r="C3" s="105">
        <f>SUM(C4:C16)</f>
        <v>91627046</v>
      </c>
    </row>
    <row r="4" spans="1:7" ht="21" thickBot="1">
      <c r="A4" s="22">
        <v>1</v>
      </c>
      <c r="B4" s="26" t="s">
        <v>220</v>
      </c>
      <c r="C4" s="24">
        <f>'Nyitó tételek'!H16</f>
        <v>17999960</v>
      </c>
      <c r="E4" s="486" t="s">
        <v>384</v>
      </c>
      <c r="F4" s="487"/>
      <c r="G4" s="107">
        <f>C3-C18</f>
        <v>12855876</v>
      </c>
    </row>
    <row r="5" spans="1:7" ht="21" thickBot="1">
      <c r="A5" s="22">
        <v>2</v>
      </c>
      <c r="B5" s="26" t="s">
        <v>2</v>
      </c>
      <c r="C5" s="24">
        <f>'Állami támogatás+pályázat'!C1</f>
        <v>38800986</v>
      </c>
      <c r="E5" s="486" t="s">
        <v>383</v>
      </c>
      <c r="F5" s="487" t="s">
        <v>382</v>
      </c>
      <c r="G5" s="107">
        <f>C3-C4-C18</f>
        <v>-5144084</v>
      </c>
    </row>
    <row r="6" spans="1:5" ht="20.25">
      <c r="A6" s="22">
        <v>3</v>
      </c>
      <c r="B6" s="26" t="s">
        <v>3</v>
      </c>
      <c r="C6" s="24">
        <f>'Egyéb támogatás'!C1</f>
        <v>10059100</v>
      </c>
      <c r="E6" s="1"/>
    </row>
    <row r="7" spans="1:7" ht="20.25">
      <c r="A7" s="22">
        <v>4</v>
      </c>
      <c r="B7" s="26" t="s">
        <v>4</v>
      </c>
      <c r="C7" s="24">
        <f>'Saját forrás'!C1</f>
        <v>20982000</v>
      </c>
      <c r="E7" s="1"/>
      <c r="F7" s="78" t="s">
        <v>93</v>
      </c>
      <c r="G7" s="108">
        <f>C3</f>
        <v>91627046</v>
      </c>
    </row>
    <row r="8" spans="1:7" ht="20.25">
      <c r="A8" s="22">
        <v>5</v>
      </c>
      <c r="B8" s="26" t="str">
        <f>'Versenyre befizetések'!B1</f>
        <v>Versenyzői befizetések versenyekre</v>
      </c>
      <c r="C8" s="24">
        <f>'Versenyre befizetések'!C1</f>
        <v>0</v>
      </c>
      <c r="E8" s="1"/>
      <c r="F8" s="79" t="s">
        <v>94</v>
      </c>
      <c r="G8" s="109">
        <f>C19+C20+C21-C10</f>
        <v>29973000</v>
      </c>
    </row>
    <row r="9" spans="1:7" ht="20.25">
      <c r="A9" s="22">
        <v>6</v>
      </c>
      <c r="B9" s="26" t="s">
        <v>42</v>
      </c>
      <c r="C9" s="24">
        <f>'Edzőtábor bevétel'!C1</f>
        <v>3785000</v>
      </c>
      <c r="E9" s="1"/>
      <c r="G9" s="116">
        <f>G8/G7</f>
        <v>0.3271195712235446</v>
      </c>
    </row>
    <row r="10" spans="1:5" ht="20.25">
      <c r="A10" s="22">
        <v>7</v>
      </c>
      <c r="B10" s="26"/>
      <c r="C10" s="24"/>
      <c r="E10" s="1"/>
    </row>
    <row r="11" spans="1:3" ht="20.25">
      <c r="A11" s="22">
        <v>8</v>
      </c>
      <c r="B11" s="26"/>
      <c r="C11" s="24"/>
    </row>
    <row r="12" spans="1:3" ht="20.25">
      <c r="A12" s="22">
        <v>9</v>
      </c>
      <c r="B12" s="26"/>
      <c r="C12" s="24"/>
    </row>
    <row r="13" spans="1:3" ht="20.25">
      <c r="A13" s="22">
        <v>10</v>
      </c>
      <c r="B13" s="26"/>
      <c r="C13" s="24"/>
    </row>
    <row r="14" spans="1:3" ht="20.25">
      <c r="A14" s="22">
        <v>11</v>
      </c>
      <c r="B14" s="26"/>
      <c r="C14" s="24"/>
    </row>
    <row r="15" spans="1:3" ht="20.25">
      <c r="A15" s="22">
        <v>12</v>
      </c>
      <c r="B15" s="26"/>
      <c r="C15" s="24"/>
    </row>
    <row r="16" spans="1:3" ht="21" thickBot="1">
      <c r="A16" s="22">
        <v>13</v>
      </c>
      <c r="B16" s="28"/>
      <c r="C16" s="29"/>
    </row>
    <row r="17" spans="1:3" ht="21" thickBot="1">
      <c r="A17" s="497"/>
      <c r="B17" s="498"/>
      <c r="C17" s="499"/>
    </row>
    <row r="18" spans="1:3" ht="20.25">
      <c r="A18" s="34" t="s">
        <v>19</v>
      </c>
      <c r="B18" s="35" t="s">
        <v>0</v>
      </c>
      <c r="C18" s="106">
        <f>SUM(C19:C35)</f>
        <v>78771170</v>
      </c>
    </row>
    <row r="19" spans="1:3" ht="20.25">
      <c r="A19" s="22">
        <v>1</v>
      </c>
      <c r="B19" s="26" t="s">
        <v>5</v>
      </c>
      <c r="C19" s="24">
        <f>'Működési költségek'!C1</f>
        <v>4082000</v>
      </c>
    </row>
    <row r="20" spans="1:3" ht="20.25">
      <c r="A20" s="22">
        <v>2</v>
      </c>
      <c r="B20" s="26" t="s">
        <v>7</v>
      </c>
      <c r="C20" s="24">
        <f>'Munkabér és jár'!C1</f>
        <v>21078000</v>
      </c>
    </row>
    <row r="21" spans="1:3" ht="20.25">
      <c r="A21" s="22">
        <v>3</v>
      </c>
      <c r="B21" s="26" t="s">
        <v>8</v>
      </c>
      <c r="C21" s="24">
        <f>'Ügyvitel és iroda'!C1</f>
        <v>4813000</v>
      </c>
    </row>
    <row r="22" spans="1:3" ht="20.25">
      <c r="A22" s="22">
        <v>4</v>
      </c>
      <c r="B22" s="26" t="s">
        <v>395</v>
      </c>
      <c r="C22" s="24">
        <f>Tiszteletdíjak!G6</f>
        <v>7440000</v>
      </c>
    </row>
    <row r="23" spans="1:3" ht="20.25">
      <c r="A23" s="22">
        <v>4</v>
      </c>
      <c r="B23" s="26" t="s">
        <v>9</v>
      </c>
      <c r="C23" s="24">
        <f>'Nemzk.Tagdíjak'!C1</f>
        <v>2723000</v>
      </c>
    </row>
    <row r="24" spans="1:3" ht="20.25">
      <c r="A24" s="22">
        <v>5</v>
      </c>
      <c r="B24" s="26" t="s">
        <v>10</v>
      </c>
      <c r="C24" s="24">
        <f>Edzőtábor!C1</f>
        <v>3785000</v>
      </c>
    </row>
    <row r="25" spans="1:3" ht="20.25">
      <c r="A25" s="22">
        <v>6</v>
      </c>
      <c r="B25" s="26" t="str">
        <f>'Edzők,válogatott'!B1</f>
        <v>Edzőképzés, válogatott</v>
      </c>
      <c r="C25" s="24">
        <f>'Edzők,válogatott'!C1</f>
        <v>2250000</v>
      </c>
    </row>
    <row r="26" spans="1:3" ht="20.25">
      <c r="A26" s="22">
        <v>7</v>
      </c>
      <c r="B26" s="26" t="str">
        <f>'Szakágak keretei'!B1</f>
        <v>Szakágak keretei </v>
      </c>
      <c r="C26" s="24">
        <f>'Szakágak keretei'!C1</f>
        <v>3249000</v>
      </c>
    </row>
    <row r="27" spans="1:3" ht="20.25">
      <c r="A27" s="22">
        <v>8</v>
      </c>
      <c r="B27" s="26" t="str">
        <f>'Közös keret'!B1</f>
        <v>Közös keret</v>
      </c>
      <c r="C27" s="24">
        <f>'Közös keret'!C1</f>
        <v>11592000</v>
      </c>
    </row>
    <row r="28" spans="1:3" ht="20.25">
      <c r="A28" s="22">
        <v>9</v>
      </c>
      <c r="B28" s="26" t="s">
        <v>6</v>
      </c>
      <c r="C28" s="24">
        <f>'Verseny rendezés ktg'!C1</f>
        <v>1864000</v>
      </c>
    </row>
    <row r="29" spans="1:3" ht="20.25">
      <c r="A29" s="22">
        <v>10</v>
      </c>
      <c r="B29" s="26" t="s">
        <v>11</v>
      </c>
      <c r="C29" s="24">
        <f>Fejlesztés!C1</f>
        <v>5795000</v>
      </c>
    </row>
    <row r="30" spans="1:3" ht="20.25">
      <c r="A30" s="22">
        <v>11</v>
      </c>
      <c r="B30" s="62" t="str">
        <f>'Versenyzés költségei'!B1</f>
        <v>Versenyzés költségei</v>
      </c>
      <c r="C30" s="24">
        <f>'Versenyzés költségei'!C1</f>
        <v>9100170</v>
      </c>
    </row>
    <row r="31" spans="1:3" ht="20.25">
      <c r="A31" s="22">
        <v>12</v>
      </c>
      <c r="B31" s="58" t="s">
        <v>87</v>
      </c>
      <c r="C31" s="24">
        <v>1000000</v>
      </c>
    </row>
    <row r="32" spans="1:3" ht="20.25">
      <c r="A32" s="22">
        <v>13</v>
      </c>
      <c r="B32" s="26"/>
      <c r="C32" s="24"/>
    </row>
    <row r="33" spans="1:3" ht="20.25">
      <c r="A33" s="22">
        <v>14</v>
      </c>
      <c r="B33" s="26"/>
      <c r="C33" s="24"/>
    </row>
    <row r="34" spans="1:3" ht="21" thickBot="1">
      <c r="A34" s="22">
        <v>15</v>
      </c>
      <c r="B34" s="28"/>
      <c r="C34" s="29"/>
    </row>
    <row r="35" spans="1:3" ht="20.25">
      <c r="A35" s="494"/>
      <c r="B35" s="495"/>
      <c r="C35" s="496"/>
    </row>
    <row r="36" ht="12.75">
      <c r="E36" s="80"/>
    </row>
    <row r="40" ht="12.75">
      <c r="F40" s="43"/>
    </row>
  </sheetData>
  <sheetProtection/>
  <protectedRanges>
    <protectedRange password="EA05" sqref="C3" name="Tartom?ny1"/>
  </protectedRanges>
  <mergeCells count="6">
    <mergeCell ref="E4:F4"/>
    <mergeCell ref="A1:C1"/>
    <mergeCell ref="A2:C2"/>
    <mergeCell ref="A35:C35"/>
    <mergeCell ref="A17:C17"/>
    <mergeCell ref="E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J25" sqref="J25"/>
    </sheetView>
  </sheetViews>
  <sheetFormatPr defaultColWidth="9.140625" defaultRowHeight="12.75" outlineLevelRow="1"/>
  <cols>
    <col min="2" max="2" width="37.28125" style="0" bestFit="1" customWidth="1"/>
    <col min="6" max="6" width="9.7109375" style="0" bestFit="1" customWidth="1"/>
    <col min="7" max="7" width="18.28125" style="0" customWidth="1"/>
  </cols>
  <sheetData>
    <row r="2" ht="12.75">
      <c r="B2" s="65" t="s">
        <v>142</v>
      </c>
    </row>
    <row r="3" ht="13.5" thickBot="1">
      <c r="B3" s="173"/>
    </row>
    <row r="4" spans="2:7" ht="12.75">
      <c r="B4" s="138" t="s">
        <v>170</v>
      </c>
      <c r="C4" s="139" t="s">
        <v>143</v>
      </c>
      <c r="D4" s="139"/>
      <c r="E4" s="139"/>
      <c r="F4" s="139"/>
      <c r="G4" s="140"/>
    </row>
    <row r="5" spans="2:7" ht="12.75">
      <c r="B5" s="160" t="s">
        <v>144</v>
      </c>
      <c r="C5" s="142"/>
      <c r="D5" s="142"/>
      <c r="E5" s="142"/>
      <c r="F5" s="142"/>
      <c r="G5" s="143"/>
    </row>
    <row r="6" spans="2:7" ht="12.75">
      <c r="B6" s="141"/>
      <c r="C6" s="142"/>
      <c r="D6" s="142"/>
      <c r="E6" s="142"/>
      <c r="F6" s="142"/>
      <c r="G6" s="143"/>
    </row>
    <row r="7" spans="2:7" ht="12.75" outlineLevel="1">
      <c r="B7" s="144" t="s">
        <v>145</v>
      </c>
      <c r="C7" s="145">
        <v>70</v>
      </c>
      <c r="D7" s="146" t="s">
        <v>146</v>
      </c>
      <c r="E7" s="142"/>
      <c r="F7" s="142"/>
      <c r="G7" s="143"/>
    </row>
    <row r="8" spans="2:7" ht="12.75" outlineLevel="1">
      <c r="B8" s="141" t="s">
        <v>147</v>
      </c>
      <c r="C8" s="145">
        <f>C7/4*1.8</f>
        <v>31.5</v>
      </c>
      <c r="D8" s="146" t="s">
        <v>148</v>
      </c>
      <c r="E8" s="142"/>
      <c r="F8" s="142"/>
      <c r="G8" s="143"/>
    </row>
    <row r="9" spans="2:7" ht="51.75" thickBot="1">
      <c r="B9" s="159" t="s">
        <v>149</v>
      </c>
      <c r="C9" s="152">
        <f>C7</f>
        <v>70</v>
      </c>
      <c r="D9" s="152" t="s">
        <v>150</v>
      </c>
      <c r="E9" s="153" t="s">
        <v>171</v>
      </c>
      <c r="F9" s="152">
        <f>C9*4500</f>
        <v>315000</v>
      </c>
      <c r="G9" s="154"/>
    </row>
    <row r="10" spans="2:7" ht="14.25" thickBot="1" thickTop="1">
      <c r="B10" s="155"/>
      <c r="C10" s="156" t="s">
        <v>151</v>
      </c>
      <c r="D10" s="157"/>
      <c r="E10" s="157" t="s">
        <v>152</v>
      </c>
      <c r="F10" s="157" t="s">
        <v>153</v>
      </c>
      <c r="G10" s="158" t="s">
        <v>154</v>
      </c>
    </row>
    <row r="11" spans="2:7" ht="13.5" thickTop="1">
      <c r="B11" s="148" t="s">
        <v>155</v>
      </c>
      <c r="C11" s="147">
        <v>3</v>
      </c>
      <c r="D11" s="147" t="s">
        <v>150</v>
      </c>
      <c r="E11" s="147">
        <v>20000</v>
      </c>
      <c r="F11" s="147">
        <f>C11*E11</f>
        <v>60000</v>
      </c>
      <c r="G11" s="149"/>
    </row>
    <row r="12" spans="2:7" ht="12.75">
      <c r="B12" s="148" t="s">
        <v>156</v>
      </c>
      <c r="C12" s="147">
        <v>2</v>
      </c>
      <c r="D12" s="147" t="s">
        <v>150</v>
      </c>
      <c r="E12" s="147">
        <v>24000</v>
      </c>
      <c r="F12" s="147">
        <f>C12*E12</f>
        <v>48000</v>
      </c>
      <c r="G12" s="149" t="s">
        <v>169</v>
      </c>
    </row>
    <row r="13" spans="2:7" ht="12.75">
      <c r="B13" s="148" t="s">
        <v>157</v>
      </c>
      <c r="C13" s="147">
        <v>2</v>
      </c>
      <c r="D13" s="147" t="s">
        <v>150</v>
      </c>
      <c r="E13" s="147">
        <v>30000</v>
      </c>
      <c r="F13" s="147">
        <f aca="true" t="shared" si="0" ref="F13:F19">C13*E13</f>
        <v>60000</v>
      </c>
      <c r="G13" s="149" t="s">
        <v>169</v>
      </c>
    </row>
    <row r="14" spans="2:7" ht="12.75">
      <c r="B14" s="148" t="s">
        <v>158</v>
      </c>
      <c r="C14" s="147">
        <v>4</v>
      </c>
      <c r="D14" s="147"/>
      <c r="E14" s="147">
        <v>20000</v>
      </c>
      <c r="F14" s="147">
        <f t="shared" si="0"/>
        <v>80000</v>
      </c>
      <c r="G14" s="149"/>
    </row>
    <row r="15" spans="2:7" ht="12.75">
      <c r="B15" s="148" t="s">
        <v>159</v>
      </c>
      <c r="C15" s="147">
        <f>C7/4*1.2</f>
        <v>21</v>
      </c>
      <c r="D15" s="147" t="s">
        <v>160</v>
      </c>
      <c r="E15" s="147">
        <v>6000</v>
      </c>
      <c r="F15" s="147">
        <f t="shared" si="0"/>
        <v>126000</v>
      </c>
      <c r="G15" s="149"/>
    </row>
    <row r="16" spans="2:7" ht="12.75">
      <c r="B16" s="148" t="s">
        <v>161</v>
      </c>
      <c r="C16" s="147">
        <v>1</v>
      </c>
      <c r="D16" s="147"/>
      <c r="E16" s="147">
        <v>30000</v>
      </c>
      <c r="F16" s="147">
        <f t="shared" si="0"/>
        <v>30000</v>
      </c>
      <c r="G16" s="149"/>
    </row>
    <row r="17" spans="2:7" ht="12.75">
      <c r="B17" s="148" t="s">
        <v>162</v>
      </c>
      <c r="C17" s="147">
        <f>C7+C13+C12+10</f>
        <v>84</v>
      </c>
      <c r="D17" s="147">
        <v>1000</v>
      </c>
      <c r="E17" s="147"/>
      <c r="F17" s="147">
        <f>C17*D17</f>
        <v>84000</v>
      </c>
      <c r="G17" s="149"/>
    </row>
    <row r="18" spans="2:7" ht="12.75">
      <c r="B18" s="148" t="s">
        <v>163</v>
      </c>
      <c r="C18" s="147">
        <f>12*2</f>
        <v>24</v>
      </c>
      <c r="D18" s="147" t="s">
        <v>150</v>
      </c>
      <c r="E18" s="147"/>
      <c r="F18" s="147">
        <f>C18*20*300</f>
        <v>144000</v>
      </c>
      <c r="G18" s="149"/>
    </row>
    <row r="19" spans="2:7" ht="12.75">
      <c r="B19" s="148" t="s">
        <v>176</v>
      </c>
      <c r="C19" s="147">
        <f>12*2+2</f>
        <v>26</v>
      </c>
      <c r="D19" s="147" t="s">
        <v>150</v>
      </c>
      <c r="E19" s="147">
        <v>8000</v>
      </c>
      <c r="F19" s="147">
        <f t="shared" si="0"/>
        <v>208000</v>
      </c>
      <c r="G19" s="149"/>
    </row>
    <row r="20" spans="2:7" ht="38.25">
      <c r="B20" s="148" t="s">
        <v>164</v>
      </c>
      <c r="C20" s="147"/>
      <c r="D20" s="147"/>
      <c r="E20" s="147"/>
      <c r="F20" s="147"/>
      <c r="G20" s="150" t="s">
        <v>172</v>
      </c>
    </row>
    <row r="21" spans="2:7" ht="25.5">
      <c r="B21" s="148" t="s">
        <v>165</v>
      </c>
      <c r="C21" s="147">
        <f>(C12+C13+3)/3</f>
        <v>2.3333333333333335</v>
      </c>
      <c r="D21" s="147">
        <v>19500</v>
      </c>
      <c r="E21" s="147"/>
      <c r="F21" s="147">
        <f>C21*D21</f>
        <v>45500</v>
      </c>
      <c r="G21" s="150" t="s">
        <v>166</v>
      </c>
    </row>
    <row r="22" spans="2:7" ht="25.5">
      <c r="B22" s="148" t="s">
        <v>167</v>
      </c>
      <c r="C22" s="147">
        <v>8</v>
      </c>
      <c r="D22" s="147">
        <v>2</v>
      </c>
      <c r="E22" s="147">
        <v>8000</v>
      </c>
      <c r="F22" s="147">
        <f>C22*D22*E22</f>
        <v>128000</v>
      </c>
      <c r="G22" s="150" t="s">
        <v>166</v>
      </c>
    </row>
    <row r="23" spans="2:7" ht="12.75">
      <c r="B23" s="151" t="s">
        <v>168</v>
      </c>
      <c r="C23" s="147">
        <v>2</v>
      </c>
      <c r="D23" s="147">
        <v>50000</v>
      </c>
      <c r="E23" s="147">
        <v>1</v>
      </c>
      <c r="F23" s="147">
        <f>C23*D23*E23</f>
        <v>100000</v>
      </c>
      <c r="G23" s="149"/>
    </row>
    <row r="24" spans="2:7" ht="13.5" thickBot="1">
      <c r="B24" s="151" t="s">
        <v>174</v>
      </c>
      <c r="C24" s="147">
        <v>900</v>
      </c>
      <c r="D24" s="147">
        <v>195</v>
      </c>
      <c r="E24" s="147">
        <f>C24*D24</f>
        <v>175500</v>
      </c>
      <c r="F24" s="147">
        <f>E24*2</f>
        <v>351000</v>
      </c>
      <c r="G24" s="150" t="s">
        <v>177</v>
      </c>
    </row>
    <row r="25" spans="2:7" ht="13.5" thickBot="1">
      <c r="B25" s="169"/>
      <c r="C25" s="167"/>
      <c r="D25" s="167"/>
      <c r="E25" s="167"/>
      <c r="F25" s="167"/>
      <c r="G25" s="168"/>
    </row>
    <row r="26" spans="2:7" ht="13.5" thickBot="1">
      <c r="B26" s="161" t="s">
        <v>175</v>
      </c>
      <c r="C26" s="162"/>
      <c r="D26" s="162"/>
      <c r="E26" s="162"/>
      <c r="F26" s="170">
        <f>F9</f>
        <v>315000</v>
      </c>
      <c r="G26" s="163"/>
    </row>
    <row r="27" spans="2:7" ht="13.5" thickBot="1">
      <c r="B27" s="164" t="s">
        <v>102</v>
      </c>
      <c r="C27" s="165"/>
      <c r="D27" s="165"/>
      <c r="E27" s="165"/>
      <c r="F27" s="171">
        <f>SUM(F11:F24)</f>
        <v>1464500</v>
      </c>
      <c r="G27" s="166"/>
    </row>
    <row r="28" spans="2:7" ht="13.5" thickBot="1">
      <c r="B28" s="164" t="s">
        <v>173</v>
      </c>
      <c r="C28" s="167"/>
      <c r="D28" s="167"/>
      <c r="E28" s="167"/>
      <c r="F28" s="172">
        <f>F26-F27</f>
        <v>-1149500</v>
      </c>
      <c r="G28" s="1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2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421875" style="1" bestFit="1" customWidth="1"/>
    <col min="2" max="2" width="55.421875" style="0" bestFit="1" customWidth="1"/>
    <col min="3" max="3" width="51.00390625" style="16" customWidth="1"/>
    <col min="4" max="4" width="22.7109375" style="0" bestFit="1" customWidth="1"/>
    <col min="5" max="5" width="12.00390625" style="0" customWidth="1"/>
    <col min="6" max="6" width="11.421875" style="0" customWidth="1"/>
    <col min="7" max="7" width="12.140625" style="0" customWidth="1"/>
    <col min="8" max="8" width="26.28125" style="0" bestFit="1" customWidth="1"/>
  </cols>
  <sheetData>
    <row r="1" spans="1:3" s="18" customFormat="1" ht="19.5" customHeight="1" thickBot="1">
      <c r="A1" s="30" t="s">
        <v>19</v>
      </c>
      <c r="B1" s="31" t="s">
        <v>308</v>
      </c>
      <c r="C1" s="32">
        <f>SUM(D3:D20)</f>
        <v>38800986</v>
      </c>
    </row>
    <row r="2" spans="1:8" s="18" customFormat="1" ht="19.5" customHeight="1">
      <c r="A2" s="195"/>
      <c r="B2" s="196"/>
      <c r="C2" s="197" t="s">
        <v>208</v>
      </c>
      <c r="D2" s="75" t="s">
        <v>209</v>
      </c>
      <c r="H2" s="18" t="s">
        <v>239</v>
      </c>
    </row>
    <row r="3" spans="1:4" s="18" customFormat="1" ht="19.5" customHeight="1">
      <c r="A3" s="19">
        <v>1</v>
      </c>
      <c r="B3" s="20"/>
      <c r="C3" s="21"/>
      <c r="D3" s="24"/>
    </row>
    <row r="4" spans="1:5" s="18" customFormat="1" ht="19.5" customHeight="1">
      <c r="A4" s="208">
        <v>2</v>
      </c>
      <c r="B4" s="204"/>
      <c r="C4" s="205"/>
      <c r="D4" s="206"/>
      <c r="E4" s="209"/>
    </row>
    <row r="5" spans="1:5" s="18" customFormat="1" ht="19.5" customHeight="1">
      <c r="A5" s="210">
        <v>3</v>
      </c>
      <c r="B5" s="204" t="s">
        <v>312</v>
      </c>
      <c r="C5" s="205"/>
      <c r="D5" s="206"/>
      <c r="E5" s="209"/>
    </row>
    <row r="6" spans="1:5" s="18" customFormat="1" ht="19.5" customHeight="1">
      <c r="A6" s="208">
        <v>4</v>
      </c>
      <c r="B6" s="204"/>
      <c r="C6" s="206"/>
      <c r="D6" s="206"/>
      <c r="E6" s="209"/>
    </row>
    <row r="7" spans="1:5" s="18" customFormat="1" ht="19.5" customHeight="1">
      <c r="A7" s="210">
        <v>5</v>
      </c>
      <c r="B7" s="204"/>
      <c r="C7" s="205"/>
      <c r="D7" s="206"/>
      <c r="E7" s="209"/>
    </row>
    <row r="8" spans="1:5" s="18" customFormat="1" ht="19.5" customHeight="1">
      <c r="A8" s="210">
        <v>6</v>
      </c>
      <c r="B8" s="204"/>
      <c r="C8" s="205" t="s">
        <v>313</v>
      </c>
      <c r="D8" s="206">
        <f>9099986-1299000</f>
        <v>7800986</v>
      </c>
      <c r="E8" s="209"/>
    </row>
    <row r="9" spans="1:5" s="18" customFormat="1" ht="19.5" customHeight="1">
      <c r="A9" s="208">
        <v>7</v>
      </c>
      <c r="B9" s="204"/>
      <c r="C9" s="205" t="s">
        <v>314</v>
      </c>
      <c r="D9" s="206">
        <v>3000000</v>
      </c>
      <c r="E9" s="209"/>
    </row>
    <row r="10" spans="1:5" s="18" customFormat="1" ht="19.5" customHeight="1">
      <c r="A10" s="19">
        <v>8</v>
      </c>
      <c r="B10" s="23"/>
      <c r="C10" s="21" t="s">
        <v>315</v>
      </c>
      <c r="D10" s="24">
        <v>10000000</v>
      </c>
      <c r="E10" s="131"/>
    </row>
    <row r="11" spans="1:5" s="18" customFormat="1" ht="19.5" customHeight="1">
      <c r="A11" s="22">
        <v>9</v>
      </c>
      <c r="B11" s="204"/>
      <c r="C11" s="205" t="s">
        <v>385</v>
      </c>
      <c r="D11" s="206">
        <v>15000000</v>
      </c>
      <c r="E11" s="131"/>
    </row>
    <row r="12" spans="1:5" s="18" customFormat="1" ht="19.5" customHeight="1">
      <c r="A12" s="19">
        <v>10</v>
      </c>
      <c r="B12" s="204" t="s">
        <v>311</v>
      </c>
      <c r="C12" s="205"/>
      <c r="D12" s="206"/>
      <c r="E12" s="131"/>
    </row>
    <row r="13" spans="1:6" s="18" customFormat="1" ht="19.5" customHeight="1">
      <c r="A13" s="19">
        <v>11</v>
      </c>
      <c r="B13" s="207"/>
      <c r="C13" s="206"/>
      <c r="D13" s="206"/>
      <c r="E13" s="131"/>
      <c r="F13" s="118"/>
    </row>
    <row r="14" spans="1:4" s="18" customFormat="1" ht="19.5" customHeight="1">
      <c r="A14" s="22">
        <v>12</v>
      </c>
      <c r="B14" s="18" t="s">
        <v>380</v>
      </c>
      <c r="D14" s="206">
        <v>3000000</v>
      </c>
    </row>
    <row r="15" spans="1:4" s="18" customFormat="1" ht="19.5" customHeight="1">
      <c r="A15" s="19"/>
      <c r="B15" s="207"/>
      <c r="C15" s="206"/>
      <c r="D15" s="206"/>
    </row>
    <row r="16" spans="1:4" s="18" customFormat="1" ht="19.5" customHeight="1">
      <c r="A16" s="19">
        <v>13</v>
      </c>
      <c r="B16" s="207" t="s">
        <v>113</v>
      </c>
      <c r="C16" s="206"/>
      <c r="D16" s="206"/>
    </row>
    <row r="17" spans="1:4" s="18" customFormat="1" ht="19.5" customHeight="1">
      <c r="A17" s="19">
        <v>15</v>
      </c>
      <c r="B17" s="23"/>
      <c r="C17" s="24"/>
      <c r="D17" s="24"/>
    </row>
    <row r="18" spans="1:4" s="18" customFormat="1" ht="19.5" customHeight="1">
      <c r="A18" s="19">
        <v>16</v>
      </c>
      <c r="B18" s="207" t="s">
        <v>309</v>
      </c>
      <c r="C18" s="206"/>
      <c r="D18" s="24"/>
    </row>
    <row r="19" spans="1:5" s="18" customFormat="1" ht="19.5" customHeight="1">
      <c r="A19" s="22"/>
      <c r="B19" s="26" t="s">
        <v>310</v>
      </c>
      <c r="C19" s="24"/>
      <c r="D19" s="24"/>
      <c r="E19" s="200"/>
    </row>
    <row r="20" spans="1:4" s="18" customFormat="1" ht="19.5" customHeight="1">
      <c r="A20" s="22"/>
      <c r="B20" s="26"/>
      <c r="C20" s="24"/>
      <c r="D20" s="24"/>
    </row>
    <row r="21" spans="1:4" s="18" customFormat="1" ht="19.5" customHeight="1">
      <c r="A21" s="22"/>
      <c r="B21" s="26"/>
      <c r="C21" s="24"/>
      <c r="D21" s="24"/>
    </row>
    <row r="22" spans="1:4" s="18" customFormat="1" ht="19.5" customHeight="1">
      <c r="A22" s="22"/>
      <c r="B22" s="26"/>
      <c r="C22" s="24"/>
      <c r="D22" s="24"/>
    </row>
    <row r="23" spans="1:4" s="18" customFormat="1" ht="19.5" customHeight="1" thickBot="1">
      <c r="A23" s="27"/>
      <c r="B23" s="28"/>
      <c r="C23" s="29"/>
      <c r="D23" s="24"/>
    </row>
    <row r="24" ht="12.75">
      <c r="D24" s="80"/>
    </row>
  </sheetData>
  <sheetProtection/>
  <protectedRanges>
    <protectedRange sqref="D4:D9 D11:D23 C3:C13 C15:C23" name="Tartom?ny2"/>
  </protectedRange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28"/>
  <sheetViews>
    <sheetView zoomScale="120" zoomScaleNormal="120" zoomScalePageLayoutView="0" workbookViewId="0" topLeftCell="B19">
      <selection activeCell="C24" sqref="C24"/>
    </sheetView>
  </sheetViews>
  <sheetFormatPr defaultColWidth="9.140625" defaultRowHeight="12.75"/>
  <cols>
    <col min="2" max="2" width="49.140625" style="0" customWidth="1"/>
    <col min="3" max="3" width="22.8515625" style="42" bestFit="1" customWidth="1"/>
    <col min="4" max="4" width="63.140625" style="0" customWidth="1"/>
  </cols>
  <sheetData>
    <row r="1" spans="1:3" ht="21" thickBot="1">
      <c r="A1" s="30" t="s">
        <v>19</v>
      </c>
      <c r="B1" s="53" t="s">
        <v>4</v>
      </c>
      <c r="C1" s="54">
        <f>SUM(C2:C27)</f>
        <v>20982000</v>
      </c>
    </row>
    <row r="2" spans="1:4" ht="20.25">
      <c r="A2" s="68">
        <v>1</v>
      </c>
      <c r="B2" s="69" t="s">
        <v>45</v>
      </c>
      <c r="C2" s="70">
        <f>20000*160</f>
        <v>3200000</v>
      </c>
      <c r="D2" s="65" t="s">
        <v>237</v>
      </c>
    </row>
    <row r="3" spans="1:4" ht="20.25">
      <c r="A3" s="59">
        <v>2</v>
      </c>
      <c r="B3" s="71" t="s">
        <v>46</v>
      </c>
      <c r="C3" s="72">
        <f>(5500-2300)*1800</f>
        <v>5760000</v>
      </c>
      <c r="D3" s="65" t="s">
        <v>378</v>
      </c>
    </row>
    <row r="4" spans="1:4" ht="20.25">
      <c r="A4" s="59">
        <v>3</v>
      </c>
      <c r="B4" s="71" t="s">
        <v>210</v>
      </c>
      <c r="C4" s="72">
        <f>1800*1100</f>
        <v>1980000</v>
      </c>
      <c r="D4" s="65" t="s">
        <v>379</v>
      </c>
    </row>
    <row r="5" spans="1:4" ht="20.25">
      <c r="A5" s="59">
        <v>4</v>
      </c>
      <c r="B5" s="71" t="s">
        <v>73</v>
      </c>
      <c r="C5" s="72">
        <f>1800*1200</f>
        <v>2160000</v>
      </c>
      <c r="D5" s="65" t="s">
        <v>379</v>
      </c>
    </row>
    <row r="6" spans="1:4" ht="20.25">
      <c r="A6" s="59"/>
      <c r="B6" s="71" t="s">
        <v>221</v>
      </c>
      <c r="C6" s="72">
        <f>100*1000</f>
        <v>100000</v>
      </c>
      <c r="D6" s="65"/>
    </row>
    <row r="7" spans="1:4" ht="20.25">
      <c r="A7" s="59"/>
      <c r="B7" s="71" t="s">
        <v>130</v>
      </c>
      <c r="C7" s="72">
        <f>130*10000</f>
        <v>1300000</v>
      </c>
      <c r="D7" s="65" t="s">
        <v>214</v>
      </c>
    </row>
    <row r="8" spans="1:3" ht="20.25">
      <c r="A8" s="59">
        <v>7</v>
      </c>
      <c r="B8" s="112" t="s">
        <v>101</v>
      </c>
      <c r="C8" s="73"/>
    </row>
    <row r="9" spans="1:4" ht="20.25">
      <c r="A9" s="59">
        <v>8</v>
      </c>
      <c r="B9" s="74" t="s">
        <v>47</v>
      </c>
      <c r="C9" s="72">
        <f>4*130*6000*0.2</f>
        <v>624000</v>
      </c>
      <c r="D9" s="482"/>
    </row>
    <row r="10" spans="1:4" ht="20.25">
      <c r="A10" s="59">
        <v>9</v>
      </c>
      <c r="B10" s="74" t="s">
        <v>48</v>
      </c>
      <c r="C10" s="72">
        <f>1*100*8000*0.2</f>
        <v>160000</v>
      </c>
      <c r="D10" s="482"/>
    </row>
    <row r="11" spans="1:4" ht="20.25">
      <c r="A11" s="59">
        <v>10</v>
      </c>
      <c r="B11" s="74" t="s">
        <v>49</v>
      </c>
      <c r="C11" s="72">
        <f>3*80*6000*0.2</f>
        <v>288000</v>
      </c>
      <c r="D11" s="482"/>
    </row>
    <row r="12" spans="1:4" ht="20.25">
      <c r="A12" s="59">
        <v>11</v>
      </c>
      <c r="B12" s="74" t="s">
        <v>241</v>
      </c>
      <c r="C12" s="72">
        <f>9*150*5000*0</f>
        <v>0</v>
      </c>
      <c r="D12" s="482"/>
    </row>
    <row r="13" spans="1:3" ht="20.25">
      <c r="A13" s="59">
        <v>12</v>
      </c>
      <c r="B13" s="113" t="s">
        <v>50</v>
      </c>
      <c r="C13" s="72"/>
    </row>
    <row r="14" spans="1:4" ht="20.25">
      <c r="A14" s="59">
        <v>13</v>
      </c>
      <c r="B14" s="74" t="s">
        <v>47</v>
      </c>
      <c r="C14" s="72">
        <f>160*7000*0.2*2</f>
        <v>448000</v>
      </c>
      <c r="D14" s="65" t="s">
        <v>215</v>
      </c>
    </row>
    <row r="15" spans="1:4" ht="20.25">
      <c r="A15" s="59">
        <v>14</v>
      </c>
      <c r="B15" s="74" t="s">
        <v>48</v>
      </c>
      <c r="C15" s="72">
        <f>200*7000*0.2*3</f>
        <v>840000</v>
      </c>
      <c r="D15" s="65" t="s">
        <v>216</v>
      </c>
    </row>
    <row r="16" spans="1:4" ht="20.25">
      <c r="A16" s="59">
        <v>15</v>
      </c>
      <c r="B16" s="74" t="s">
        <v>49</v>
      </c>
      <c r="C16" s="72">
        <f>80*7000*0.2</f>
        <v>112000</v>
      </c>
      <c r="D16" s="51"/>
    </row>
    <row r="17" spans="1:4" ht="20.25">
      <c r="A17" s="59">
        <v>16</v>
      </c>
      <c r="B17" s="74" t="s">
        <v>75</v>
      </c>
      <c r="C17" s="72">
        <f>250*6000*0.2</f>
        <v>300000</v>
      </c>
      <c r="D17" s="51"/>
    </row>
    <row r="18" spans="1:4" ht="20.25">
      <c r="A18" s="59">
        <v>17</v>
      </c>
      <c r="B18" s="71" t="s">
        <v>51</v>
      </c>
      <c r="C18" s="72"/>
      <c r="D18" s="65"/>
    </row>
    <row r="19" spans="1:3" ht="20.25">
      <c r="A19" s="59"/>
      <c r="B19" s="198" t="s">
        <v>84</v>
      </c>
      <c r="C19" s="72"/>
    </row>
    <row r="20" spans="1:4" ht="20.25">
      <c r="A20" s="59">
        <v>19</v>
      </c>
      <c r="B20" s="71" t="s">
        <v>99</v>
      </c>
      <c r="C20" s="72"/>
      <c r="D20" s="65"/>
    </row>
    <row r="21" spans="1:4" ht="20.25">
      <c r="A21" s="59">
        <v>20</v>
      </c>
      <c r="B21" s="71" t="s">
        <v>117</v>
      </c>
      <c r="C21" s="72">
        <f>30*100*320</f>
        <v>960000</v>
      </c>
      <c r="D21" s="65"/>
    </row>
    <row r="22" spans="1:4" ht="20.25">
      <c r="A22" s="59"/>
      <c r="B22" s="71" t="s">
        <v>132</v>
      </c>
      <c r="C22" s="72"/>
      <c r="D22" s="65"/>
    </row>
    <row r="23" spans="1:3" ht="20.25">
      <c r="A23" s="59">
        <v>22</v>
      </c>
      <c r="B23" s="71" t="s">
        <v>217</v>
      </c>
      <c r="C23" s="72">
        <f>35000*30+80000*15</f>
        <v>2250000</v>
      </c>
    </row>
    <row r="24" spans="1:3" ht="20.25">
      <c r="A24" s="59">
        <v>24</v>
      </c>
      <c r="B24" s="71" t="s">
        <v>218</v>
      </c>
      <c r="C24" s="72">
        <f>10000*50</f>
        <v>500000</v>
      </c>
    </row>
    <row r="25" spans="1:4" ht="20.25">
      <c r="A25" s="59">
        <v>25</v>
      </c>
      <c r="B25" s="71"/>
      <c r="C25" s="72"/>
      <c r="D25" s="51"/>
    </row>
    <row r="26" spans="1:7" ht="20.25">
      <c r="A26" s="59">
        <v>26</v>
      </c>
      <c r="B26" s="71"/>
      <c r="C26" s="72"/>
      <c r="E26" s="41"/>
      <c r="F26" s="40"/>
      <c r="G26" s="40"/>
    </row>
    <row r="27" spans="1:7" ht="21" thickBot="1">
      <c r="A27" s="59">
        <v>27</v>
      </c>
      <c r="B27" s="76"/>
      <c r="C27" s="77"/>
      <c r="E27" s="41"/>
      <c r="F27" s="40"/>
      <c r="G27" s="40"/>
    </row>
    <row r="28" ht="20.25">
      <c r="A28" s="75"/>
    </row>
  </sheetData>
  <sheetProtection/>
  <protectedRanges>
    <protectedRange sqref="C9:C25 C2:C7" name="Tartom?ny2"/>
  </protectedRange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16"/>
  <sheetViews>
    <sheetView zoomScale="98" zoomScaleNormal="98" zoomScalePageLayoutView="0" workbookViewId="0" topLeftCell="A1">
      <selection activeCell="C6" sqref="C6"/>
    </sheetView>
  </sheetViews>
  <sheetFormatPr defaultColWidth="9.140625" defaultRowHeight="12.75"/>
  <cols>
    <col min="1" max="1" width="8.421875" style="0" bestFit="1" customWidth="1"/>
    <col min="2" max="2" width="41.00390625" style="0" bestFit="1" customWidth="1"/>
    <col min="3" max="3" width="20.57421875" style="42" customWidth="1"/>
    <col min="5" max="5" width="13.421875" style="0" customWidth="1"/>
    <col min="6" max="6" width="14.00390625" style="0" customWidth="1"/>
    <col min="7" max="7" width="14.28125" style="0" customWidth="1"/>
    <col min="8" max="8" width="24.00390625" style="0" bestFit="1" customWidth="1"/>
  </cols>
  <sheetData>
    <row r="1" spans="1:3" s="18" customFormat="1" ht="19.5" customHeight="1" thickBot="1">
      <c r="A1" s="30" t="s">
        <v>19</v>
      </c>
      <c r="B1" s="31" t="s">
        <v>25</v>
      </c>
      <c r="C1" s="47">
        <f>SUM(C2:C16)</f>
        <v>10059100</v>
      </c>
    </row>
    <row r="2" spans="1:3" s="18" customFormat="1" ht="19.5" customHeight="1">
      <c r="A2" s="19">
        <v>1</v>
      </c>
      <c r="B2" s="23" t="s">
        <v>43</v>
      </c>
      <c r="C2" s="49">
        <v>120000</v>
      </c>
    </row>
    <row r="3" spans="1:3" s="18" customFormat="1" ht="19.5" customHeight="1">
      <c r="A3" s="19">
        <v>2</v>
      </c>
      <c r="B3" s="23" t="s">
        <v>44</v>
      </c>
      <c r="C3" s="49">
        <v>0</v>
      </c>
    </row>
    <row r="4" spans="1:4" s="18" customFormat="1" ht="19.5" customHeight="1">
      <c r="A4" s="22">
        <v>3</v>
      </c>
      <c r="B4" s="23" t="s">
        <v>90</v>
      </c>
      <c r="C4" s="49">
        <v>100000</v>
      </c>
      <c r="D4" s="65"/>
    </row>
    <row r="5" spans="1:4" s="18" customFormat="1" ht="19.5" customHeight="1">
      <c r="A5" s="19">
        <v>4</v>
      </c>
      <c r="B5" s="23" t="s">
        <v>396</v>
      </c>
      <c r="C5" s="49">
        <f>'Közös keret'!J11+Fejlesztés!H13</f>
        <v>2399100</v>
      </c>
      <c r="D5" s="65"/>
    </row>
    <row r="6" spans="1:4" s="18" customFormat="1" ht="19.5" customHeight="1">
      <c r="A6" s="19">
        <v>5</v>
      </c>
      <c r="B6" s="23" t="s">
        <v>394</v>
      </c>
      <c r="C6" s="49">
        <f>Tiszteletdíjak!G6</f>
        <v>7440000</v>
      </c>
      <c r="D6" s="65"/>
    </row>
    <row r="7" spans="1:4" s="18" customFormat="1" ht="19.5" customHeight="1">
      <c r="A7" s="19">
        <v>6</v>
      </c>
      <c r="B7" s="23" t="s">
        <v>373</v>
      </c>
      <c r="C7" s="49">
        <v>0</v>
      </c>
      <c r="D7" s="65"/>
    </row>
    <row r="8" spans="1:4" s="18" customFormat="1" ht="19.5" customHeight="1">
      <c r="A8" s="22">
        <v>7</v>
      </c>
      <c r="B8" s="23" t="s">
        <v>96</v>
      </c>
      <c r="C8" s="49">
        <v>0</v>
      </c>
      <c r="D8" s="65"/>
    </row>
    <row r="9" spans="1:4" s="18" customFormat="1" ht="19.5" customHeight="1">
      <c r="A9" s="19">
        <v>8</v>
      </c>
      <c r="B9" s="23" t="s">
        <v>131</v>
      </c>
      <c r="C9" s="49">
        <v>0</v>
      </c>
      <c r="D9" s="201"/>
    </row>
    <row r="10" spans="1:4" s="18" customFormat="1" ht="19.5" customHeight="1">
      <c r="A10" s="22"/>
      <c r="B10" s="23"/>
      <c r="C10" s="49"/>
      <c r="D10" s="65"/>
    </row>
    <row r="11" spans="1:5" s="18" customFormat="1" ht="19.5" customHeight="1">
      <c r="A11" s="19"/>
      <c r="B11" s="23"/>
      <c r="C11" s="49"/>
      <c r="D11" s="65"/>
      <c r="E11" s="65"/>
    </row>
    <row r="12" spans="1:5" s="18" customFormat="1" ht="19.5" customHeight="1">
      <c r="A12" s="22"/>
      <c r="B12" s="26"/>
      <c r="C12" s="49"/>
      <c r="D12" s="65"/>
      <c r="E12" s="65"/>
    </row>
    <row r="13" spans="1:3" s="18" customFormat="1" ht="19.5" customHeight="1">
      <c r="A13" s="22"/>
      <c r="B13" s="26"/>
      <c r="C13" s="49"/>
    </row>
    <row r="14" spans="1:3" s="18" customFormat="1" ht="19.5" customHeight="1">
      <c r="A14" s="22"/>
      <c r="B14" s="26"/>
      <c r="C14" s="49"/>
    </row>
    <row r="15" spans="1:3" s="18" customFormat="1" ht="19.5" customHeight="1">
      <c r="A15" s="22"/>
      <c r="B15" s="26"/>
      <c r="C15" s="49"/>
    </row>
    <row r="16" spans="1:3" s="18" customFormat="1" ht="19.5" customHeight="1">
      <c r="A16" s="22"/>
      <c r="B16" s="26"/>
      <c r="C16" s="49"/>
    </row>
  </sheetData>
  <sheetProtection/>
  <protectedRanges>
    <protectedRange sqref="C10:C16 C2:C3" name="Tartom?ny2"/>
    <protectedRange sqref="C4:C9" name="Tartom?ny2_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D20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47.140625" style="0" bestFit="1" customWidth="1"/>
    <col min="3" max="3" width="22.8515625" style="0" bestFit="1" customWidth="1"/>
    <col min="4" max="4" width="27.57421875" style="0" customWidth="1"/>
  </cols>
  <sheetData>
    <row r="1" spans="1:3" ht="20.25">
      <c r="A1" s="101" t="s">
        <v>19</v>
      </c>
      <c r="B1" s="53" t="s">
        <v>27</v>
      </c>
      <c r="C1" s="102">
        <f>SUM(C2:C20)</f>
        <v>0</v>
      </c>
    </row>
    <row r="2" spans="1:4" ht="20.25">
      <c r="A2" s="22">
        <v>1</v>
      </c>
      <c r="B2" s="103"/>
      <c r="C2" s="24">
        <v>0</v>
      </c>
      <c r="D2" t="s">
        <v>116</v>
      </c>
    </row>
    <row r="3" spans="1:4" ht="20.25">
      <c r="A3" s="22">
        <v>2</v>
      </c>
      <c r="B3" s="103" t="s">
        <v>374</v>
      </c>
      <c r="C3" s="24"/>
      <c r="D3" s="65" t="s">
        <v>118</v>
      </c>
    </row>
    <row r="4" spans="1:3" ht="20.25">
      <c r="A4" s="22">
        <v>3</v>
      </c>
      <c r="B4" s="103"/>
      <c r="C4" s="24"/>
    </row>
    <row r="5" spans="1:3" ht="20.25">
      <c r="A5" s="22">
        <v>4</v>
      </c>
      <c r="B5" s="103"/>
      <c r="C5" s="24"/>
    </row>
    <row r="6" spans="1:3" ht="20.25">
      <c r="A6" s="22">
        <v>5</v>
      </c>
      <c r="B6" s="103"/>
      <c r="C6" s="24"/>
    </row>
    <row r="7" spans="1:3" ht="20.25">
      <c r="A7" s="22">
        <v>6</v>
      </c>
      <c r="B7" s="103"/>
      <c r="C7" s="24"/>
    </row>
    <row r="8" spans="1:3" ht="20.25">
      <c r="A8" s="22">
        <v>7</v>
      </c>
      <c r="B8" s="103"/>
      <c r="C8" s="24"/>
    </row>
    <row r="9" spans="1:3" ht="20.25">
      <c r="A9" s="22">
        <v>8</v>
      </c>
      <c r="B9" s="103"/>
      <c r="C9" s="24"/>
    </row>
    <row r="10" spans="1:3" ht="20.25">
      <c r="A10" s="22">
        <v>9</v>
      </c>
      <c r="B10" s="103"/>
      <c r="C10" s="24"/>
    </row>
    <row r="11" spans="1:3" ht="20.25">
      <c r="A11" s="22">
        <v>10</v>
      </c>
      <c r="B11" s="103"/>
      <c r="C11" s="24"/>
    </row>
    <row r="12" spans="1:3" ht="20.25">
      <c r="A12" s="22">
        <v>11</v>
      </c>
      <c r="B12" s="103"/>
      <c r="C12" s="24"/>
    </row>
    <row r="13" spans="1:3" ht="20.25">
      <c r="A13" s="22">
        <v>12</v>
      </c>
      <c r="B13" s="103"/>
      <c r="C13" s="24"/>
    </row>
    <row r="14" spans="1:3" ht="20.25">
      <c r="A14" s="22">
        <v>13</v>
      </c>
      <c r="B14" s="103"/>
      <c r="C14" s="24"/>
    </row>
    <row r="15" spans="1:3" ht="20.25">
      <c r="A15" s="22">
        <v>14</v>
      </c>
      <c r="B15" s="103"/>
      <c r="C15" s="24"/>
    </row>
    <row r="16" spans="1:3" ht="20.25">
      <c r="A16" s="22">
        <v>15</v>
      </c>
      <c r="B16" s="104"/>
      <c r="C16" s="24"/>
    </row>
    <row r="17" spans="1:3" ht="20.25">
      <c r="A17" s="22">
        <v>16</v>
      </c>
      <c r="B17" s="37"/>
      <c r="C17" s="24"/>
    </row>
    <row r="18" spans="1:3" ht="20.25">
      <c r="A18" s="22">
        <v>17</v>
      </c>
      <c r="B18" s="37"/>
      <c r="C18" s="24"/>
    </row>
    <row r="19" spans="1:3" ht="20.25">
      <c r="A19" s="22">
        <v>18</v>
      </c>
      <c r="B19" s="37"/>
      <c r="C19" s="24"/>
    </row>
    <row r="20" spans="1:3" ht="21" thickBot="1">
      <c r="A20" s="27">
        <v>19</v>
      </c>
      <c r="B20" s="39"/>
      <c r="C20" s="29"/>
    </row>
  </sheetData>
  <sheetProtection/>
  <protectedRanges>
    <protectedRange sqref="C2:C20" name="Tartom?ny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4246E6"/>
  </sheetPr>
  <dimension ref="A1:D22"/>
  <sheetViews>
    <sheetView zoomScale="130" zoomScaleNormal="130" zoomScalePageLayoutView="0" workbookViewId="0" topLeftCell="A1">
      <selection activeCell="C4" sqref="C4"/>
    </sheetView>
  </sheetViews>
  <sheetFormatPr defaultColWidth="9.140625" defaultRowHeight="12.75"/>
  <cols>
    <col min="2" max="2" width="47.140625" style="0" bestFit="1" customWidth="1"/>
    <col min="3" max="3" width="21.00390625" style="0" bestFit="1" customWidth="1"/>
  </cols>
  <sheetData>
    <row r="1" spans="1:3" ht="16.5" thickBot="1">
      <c r="A1" s="183" t="s">
        <v>19</v>
      </c>
      <c r="B1" s="184" t="s">
        <v>41</v>
      </c>
      <c r="C1" s="185">
        <f>SUM(C2:C20)</f>
        <v>3785000</v>
      </c>
    </row>
    <row r="2" spans="1:4" ht="15.75">
      <c r="A2" s="180">
        <v>1</v>
      </c>
      <c r="B2" s="181" t="s">
        <v>47</v>
      </c>
      <c r="C2" s="186">
        <f>25*50000</f>
        <v>1250000</v>
      </c>
      <c r="D2" s="52"/>
    </row>
    <row r="3" spans="1:3" ht="15.75">
      <c r="A3" s="187">
        <v>2</v>
      </c>
      <c r="B3" s="188" t="s">
        <v>49</v>
      </c>
      <c r="C3" s="186">
        <f>15*50000</f>
        <v>750000</v>
      </c>
    </row>
    <row r="4" spans="1:3" ht="15.75">
      <c r="A4" s="187">
        <v>3</v>
      </c>
      <c r="B4" s="188" t="s">
        <v>48</v>
      </c>
      <c r="C4" s="186">
        <f>35*51000</f>
        <v>1785000</v>
      </c>
    </row>
    <row r="5" spans="1:3" ht="15.75">
      <c r="A5" s="187">
        <v>4</v>
      </c>
      <c r="B5" s="188"/>
      <c r="C5" s="189"/>
    </row>
    <row r="6" spans="1:3" ht="15.75">
      <c r="A6" s="187">
        <v>5</v>
      </c>
      <c r="B6" s="188"/>
      <c r="C6" s="189"/>
    </row>
    <row r="7" spans="1:3" ht="15.75">
      <c r="A7" s="187">
        <v>6</v>
      </c>
      <c r="B7" s="188"/>
      <c r="C7" s="189"/>
    </row>
    <row r="8" spans="1:3" ht="15.75">
      <c r="A8" s="187">
        <v>7</v>
      </c>
      <c r="B8" s="188"/>
      <c r="C8" s="189"/>
    </row>
    <row r="9" spans="1:3" ht="15.75">
      <c r="A9" s="187">
        <v>8</v>
      </c>
      <c r="B9" s="190"/>
      <c r="C9" s="189"/>
    </row>
    <row r="10" spans="1:3" ht="15.75">
      <c r="A10" s="187">
        <v>9</v>
      </c>
      <c r="B10" s="188"/>
      <c r="C10" s="189"/>
    </row>
    <row r="11" spans="1:3" ht="15.75">
      <c r="A11" s="187">
        <v>10</v>
      </c>
      <c r="B11" s="188"/>
      <c r="C11" s="189"/>
    </row>
    <row r="12" spans="1:3" ht="15.75">
      <c r="A12" s="187">
        <v>11</v>
      </c>
      <c r="B12" s="188"/>
      <c r="C12" s="189"/>
    </row>
    <row r="13" spans="1:3" ht="15.75">
      <c r="A13" s="187">
        <v>12</v>
      </c>
      <c r="B13" s="188"/>
      <c r="C13" s="189"/>
    </row>
    <row r="14" spans="1:3" ht="15.75">
      <c r="A14" s="187">
        <v>13</v>
      </c>
      <c r="B14" s="188"/>
      <c r="C14" s="189"/>
    </row>
    <row r="15" spans="1:3" ht="15.75">
      <c r="A15" s="187">
        <v>14</v>
      </c>
      <c r="B15" s="188"/>
      <c r="C15" s="189"/>
    </row>
    <row r="16" spans="1:3" ht="15.75">
      <c r="A16" s="187">
        <v>15</v>
      </c>
      <c r="B16" s="188"/>
      <c r="C16" s="189"/>
    </row>
    <row r="17" spans="1:3" ht="15.75">
      <c r="A17" s="187">
        <v>16</v>
      </c>
      <c r="B17" s="188"/>
      <c r="C17" s="189"/>
    </row>
    <row r="18" spans="1:3" ht="15.75">
      <c r="A18" s="187">
        <v>17</v>
      </c>
      <c r="B18" s="188"/>
      <c r="C18" s="189"/>
    </row>
    <row r="19" spans="1:3" ht="15.75">
      <c r="A19" s="187">
        <v>18</v>
      </c>
      <c r="B19" s="188"/>
      <c r="C19" s="189"/>
    </row>
    <row r="20" spans="1:3" ht="16.5" thickBot="1">
      <c r="A20" s="191">
        <v>19</v>
      </c>
      <c r="B20" s="192"/>
      <c r="C20" s="193"/>
    </row>
    <row r="21" spans="1:3" ht="15">
      <c r="A21" s="194"/>
      <c r="B21" s="194"/>
      <c r="C21" s="194"/>
    </row>
    <row r="22" spans="1:3" ht="15">
      <c r="A22" s="194"/>
      <c r="B22" s="194"/>
      <c r="C22" s="194"/>
    </row>
  </sheetData>
  <sheetProtection/>
  <protectedRanges>
    <protectedRange sqref="C2:C20" name="Tartom?ny2"/>
  </protectedRange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"/>
  <sheetViews>
    <sheetView zoomScale="80" zoomScaleNormal="80" zoomScalePageLayoutView="0" workbookViewId="0" topLeftCell="A1">
      <selection activeCell="C18" sqref="C18"/>
    </sheetView>
  </sheetViews>
  <sheetFormatPr defaultColWidth="9.140625" defaultRowHeight="12.75"/>
  <cols>
    <col min="2" max="2" width="56.28125" style="0" customWidth="1"/>
    <col min="3" max="3" width="20.28125" style="42" customWidth="1"/>
    <col min="4" max="4" width="12.8515625" style="0" customWidth="1"/>
    <col min="5" max="5" width="13.28125" style="0" customWidth="1"/>
    <col min="6" max="6" width="15.57421875" style="0" customWidth="1"/>
    <col min="7" max="7" width="11.57421875" style="0" customWidth="1"/>
    <col min="8" max="8" width="13.140625" style="42" customWidth="1"/>
  </cols>
  <sheetData>
    <row r="1" spans="1:8" ht="21" thickBot="1">
      <c r="A1" s="30" t="s">
        <v>19</v>
      </c>
      <c r="B1" s="31" t="s">
        <v>271</v>
      </c>
      <c r="C1" s="47">
        <f>SUM(C3:C15)</f>
        <v>3249000</v>
      </c>
      <c r="F1" s="65"/>
      <c r="G1" s="51"/>
      <c r="H1" s="63"/>
    </row>
    <row r="2" spans="1:12" ht="20.25">
      <c r="A2" s="19"/>
      <c r="B2" s="61" t="s">
        <v>375</v>
      </c>
      <c r="C2" s="48"/>
      <c r="G2" s="51"/>
      <c r="H2" s="63"/>
      <c r="J2" s="65"/>
      <c r="L2" s="65"/>
    </row>
    <row r="3" spans="1:7" ht="20.25">
      <c r="A3" s="19">
        <v>1</v>
      </c>
      <c r="B3" s="67" t="s">
        <v>47</v>
      </c>
      <c r="C3" s="48">
        <f>800000-C10</f>
        <v>514000</v>
      </c>
      <c r="F3" s="128"/>
      <c r="G3" s="211"/>
    </row>
    <row r="4" spans="1:12" ht="20.25">
      <c r="A4" s="22">
        <v>2</v>
      </c>
      <c r="B4" s="66" t="s">
        <v>48</v>
      </c>
      <c r="C4" s="48">
        <f>800000-C11</f>
        <v>332000</v>
      </c>
      <c r="F4" s="129"/>
      <c r="G4" s="211"/>
      <c r="L4" s="98"/>
    </row>
    <row r="5" spans="1:7" ht="20.25">
      <c r="A5" s="22">
        <v>3</v>
      </c>
      <c r="B5" s="66" t="s">
        <v>49</v>
      </c>
      <c r="C5" s="48">
        <f>800000-C12</f>
        <v>709000</v>
      </c>
      <c r="F5" s="128"/>
      <c r="G5" s="211"/>
    </row>
    <row r="6" spans="1:7" ht="20.25">
      <c r="A6" s="22">
        <v>4</v>
      </c>
      <c r="B6" s="66" t="s">
        <v>75</v>
      </c>
      <c r="C6" s="48">
        <f>800000-C13</f>
        <v>488000</v>
      </c>
      <c r="F6" s="128"/>
      <c r="G6" s="211"/>
    </row>
    <row r="7" spans="1:7" ht="20.25">
      <c r="A7" s="22">
        <v>5</v>
      </c>
      <c r="B7" s="66" t="s">
        <v>76</v>
      </c>
      <c r="C7" s="48"/>
      <c r="F7" s="128"/>
      <c r="G7" s="211"/>
    </row>
    <row r="8" spans="1:12" ht="21" thickBot="1">
      <c r="A8" s="22">
        <v>6</v>
      </c>
      <c r="B8" s="66" t="s">
        <v>59</v>
      </c>
      <c r="C8" s="48">
        <v>10000</v>
      </c>
      <c r="F8" s="130"/>
      <c r="G8" s="212"/>
      <c r="H8" s="64"/>
      <c r="I8" s="56"/>
      <c r="J8" s="56"/>
      <c r="K8" s="56"/>
      <c r="L8" s="56"/>
    </row>
    <row r="9" spans="1:7" ht="21" thickTop="1">
      <c r="A9" s="22"/>
      <c r="B9" s="60" t="s">
        <v>55</v>
      </c>
      <c r="C9" s="48"/>
      <c r="F9" s="98"/>
      <c r="G9" s="211"/>
    </row>
    <row r="10" spans="1:7" ht="20.25">
      <c r="A10" s="22">
        <v>7</v>
      </c>
      <c r="B10" s="66" t="s">
        <v>47</v>
      </c>
      <c r="C10" s="48">
        <f>110*1300*2</f>
        <v>286000</v>
      </c>
      <c r="D10" s="65" t="s">
        <v>213</v>
      </c>
      <c r="G10" s="57"/>
    </row>
    <row r="11" spans="1:4" ht="20.25">
      <c r="A11" s="22">
        <v>8</v>
      </c>
      <c r="B11" s="66" t="s">
        <v>56</v>
      </c>
      <c r="C11" s="48">
        <f>120*1300*3</f>
        <v>468000</v>
      </c>
      <c r="D11" s="65" t="s">
        <v>212</v>
      </c>
    </row>
    <row r="12" spans="1:3" ht="20.25">
      <c r="A12" s="22">
        <v>9</v>
      </c>
      <c r="B12" s="66" t="s">
        <v>49</v>
      </c>
      <c r="C12" s="48">
        <f>70*1300</f>
        <v>91000</v>
      </c>
    </row>
    <row r="13" spans="1:8" ht="20.25">
      <c r="A13" s="22">
        <v>10</v>
      </c>
      <c r="B13" s="66" t="s">
        <v>75</v>
      </c>
      <c r="C13" s="48">
        <f>120*1300*2</f>
        <v>312000</v>
      </c>
      <c r="D13" s="65" t="s">
        <v>240</v>
      </c>
      <c r="F13" s="51"/>
      <c r="H13" s="115"/>
    </row>
    <row r="14" spans="1:6" ht="20.25">
      <c r="A14" s="22"/>
      <c r="B14" s="66" t="s">
        <v>76</v>
      </c>
      <c r="C14" s="48">
        <f>1300*15</f>
        <v>19500</v>
      </c>
      <c r="F14" s="51"/>
    </row>
    <row r="15" spans="1:3" ht="20.25">
      <c r="A15" s="22">
        <v>11</v>
      </c>
      <c r="B15" s="66" t="s">
        <v>59</v>
      </c>
      <c r="C15" s="48">
        <f>1300*15</f>
        <v>19500</v>
      </c>
    </row>
    <row r="16" spans="2:8" ht="20.25">
      <c r="B16" s="119" t="s">
        <v>122</v>
      </c>
      <c r="C16" s="120"/>
      <c r="G16" s="40"/>
      <c r="H16" s="40"/>
    </row>
    <row r="17" spans="2:8" ht="20.25">
      <c r="B17" s="121" t="s">
        <v>47</v>
      </c>
      <c r="C17" s="125">
        <f>C10+C3</f>
        <v>800000</v>
      </c>
      <c r="D17" s="122"/>
      <c r="E17" s="122"/>
      <c r="G17" s="40"/>
      <c r="H17" s="40"/>
    </row>
    <row r="18" spans="1:8" ht="20.25">
      <c r="A18" s="75"/>
      <c r="B18" s="121" t="s">
        <v>56</v>
      </c>
      <c r="C18" s="126">
        <f>C11+C4</f>
        <v>800000</v>
      </c>
      <c r="D18" s="122"/>
      <c r="E18" s="122"/>
      <c r="G18" s="40"/>
      <c r="H18" s="40"/>
    </row>
    <row r="19" spans="2:8" s="81" customFormat="1" ht="20.25">
      <c r="B19" s="121" t="s">
        <v>58</v>
      </c>
      <c r="C19" s="126">
        <f>C13+C6</f>
        <v>800000</v>
      </c>
      <c r="D19" s="122"/>
      <c r="E19" s="123"/>
      <c r="H19" s="95"/>
    </row>
    <row r="20" spans="2:8" s="81" customFormat="1" ht="20.25">
      <c r="B20" s="121" t="s">
        <v>57</v>
      </c>
      <c r="C20" s="126">
        <f>C12+C5</f>
        <v>800000</v>
      </c>
      <c r="D20" s="122"/>
      <c r="E20" s="124"/>
      <c r="F20" s="96"/>
      <c r="G20" s="96"/>
      <c r="H20" s="95"/>
    </row>
    <row r="21" spans="2:8" s="81" customFormat="1" ht="20.25">
      <c r="B21" s="121" t="s">
        <v>59</v>
      </c>
      <c r="C21" s="126">
        <f>C15+C8</f>
        <v>29500</v>
      </c>
      <c r="D21" s="96"/>
      <c r="E21" s="96"/>
      <c r="F21" s="96"/>
      <c r="G21" s="96"/>
      <c r="H21" s="95"/>
    </row>
    <row r="22" spans="2:8" s="81" customFormat="1" ht="20.25">
      <c r="B22" s="121" t="s">
        <v>76</v>
      </c>
      <c r="C22" s="126">
        <f>C15+C7</f>
        <v>19500</v>
      </c>
      <c r="D22" s="96"/>
      <c r="E22" s="96"/>
      <c r="F22" s="96"/>
      <c r="G22" s="96"/>
      <c r="H22" s="95"/>
    </row>
    <row r="23" spans="2:8" s="81" customFormat="1" ht="18">
      <c r="B23" s="96"/>
      <c r="C23" s="96"/>
      <c r="D23" s="96"/>
      <c r="E23" s="96"/>
      <c r="F23" s="96"/>
      <c r="G23" s="96"/>
      <c r="H23" s="95"/>
    </row>
    <row r="24" spans="2:8" s="81" customFormat="1" ht="18">
      <c r="B24" s="96"/>
      <c r="C24" s="96"/>
      <c r="D24" s="96"/>
      <c r="E24" s="96"/>
      <c r="F24" s="96"/>
      <c r="G24" s="96"/>
      <c r="H24" s="95"/>
    </row>
    <row r="25" spans="2:8" s="81" customFormat="1" ht="18">
      <c r="B25" s="96"/>
      <c r="C25" s="96"/>
      <c r="D25" s="96"/>
      <c r="E25" s="96"/>
      <c r="F25" s="96"/>
      <c r="G25" s="96"/>
      <c r="H25" s="95"/>
    </row>
    <row r="26" spans="2:8" s="81" customFormat="1" ht="18">
      <c r="B26" s="96"/>
      <c r="C26" s="96"/>
      <c r="D26" s="96"/>
      <c r="E26" s="96"/>
      <c r="F26" s="96"/>
      <c r="G26" s="96"/>
      <c r="H26" s="95"/>
    </row>
    <row r="27" spans="2:8" s="81" customFormat="1" ht="18">
      <c r="B27" s="97"/>
      <c r="C27" s="97"/>
      <c r="D27" s="97"/>
      <c r="E27" s="97"/>
      <c r="F27" s="97"/>
      <c r="G27" s="96"/>
      <c r="H27" s="95"/>
    </row>
    <row r="28" spans="2:8" s="81" customFormat="1" ht="18">
      <c r="B28" s="96"/>
      <c r="C28" s="96"/>
      <c r="D28" s="96"/>
      <c r="E28" s="96"/>
      <c r="F28" s="96"/>
      <c r="G28" s="96"/>
      <c r="H28" s="95"/>
    </row>
    <row r="29" spans="2:8" s="81" customFormat="1" ht="18">
      <c r="B29" s="96"/>
      <c r="C29" s="96"/>
      <c r="D29" s="96"/>
      <c r="E29" s="96"/>
      <c r="F29" s="96"/>
      <c r="G29" s="96"/>
      <c r="H29" s="95"/>
    </row>
    <row r="30" spans="3:8" s="81" customFormat="1" ht="18">
      <c r="C30" s="95"/>
      <c r="H30" s="95"/>
    </row>
  </sheetData>
  <sheetProtection/>
  <protectedRanges>
    <protectedRange sqref="C3:C9" name="Tartom?ny2"/>
  </protectedRange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zoomScale="110" zoomScaleNormal="110" zoomScalePageLayoutView="0" workbookViewId="0" topLeftCell="A1">
      <selection activeCell="G8" sqref="G8"/>
    </sheetView>
  </sheetViews>
  <sheetFormatPr defaultColWidth="9.140625" defaultRowHeight="12.75"/>
  <cols>
    <col min="1" max="1" width="8.421875" style="0" bestFit="1" customWidth="1"/>
    <col min="2" max="2" width="53.8515625" style="0" bestFit="1" customWidth="1"/>
    <col min="3" max="3" width="21.00390625" style="42" bestFit="1" customWidth="1"/>
    <col min="7" max="7" width="12.7109375" style="0" customWidth="1"/>
  </cols>
  <sheetData>
    <row r="1" spans="1:3" ht="21" thickBot="1">
      <c r="A1" s="30" t="s">
        <v>19</v>
      </c>
      <c r="B1" s="31" t="s">
        <v>5</v>
      </c>
      <c r="C1" s="47">
        <f>SUM(C2:C15)</f>
        <v>4082000</v>
      </c>
    </row>
    <row r="2" spans="1:4" ht="20.25">
      <c r="A2" s="22"/>
      <c r="B2" s="61"/>
      <c r="C2" s="55"/>
      <c r="D2" s="42"/>
    </row>
    <row r="3" spans="1:6" ht="20.25">
      <c r="A3" s="22">
        <v>1</v>
      </c>
      <c r="B3" s="20" t="s">
        <v>222</v>
      </c>
      <c r="C3" s="55">
        <f>D3*75</f>
        <v>720000</v>
      </c>
      <c r="D3" s="42">
        <f>4*200*12</f>
        <v>9600</v>
      </c>
      <c r="E3" t="s">
        <v>108</v>
      </c>
      <c r="F3" t="s">
        <v>109</v>
      </c>
    </row>
    <row r="4" spans="1:6" ht="20.25">
      <c r="A4" s="22">
        <v>2</v>
      </c>
      <c r="B4" s="20" t="s">
        <v>53</v>
      </c>
      <c r="C4" s="55">
        <f>D4*75</f>
        <v>630000</v>
      </c>
      <c r="D4" s="42">
        <f>7*200*6</f>
        <v>8400</v>
      </c>
      <c r="E4" t="s">
        <v>108</v>
      </c>
      <c r="F4" t="s">
        <v>109</v>
      </c>
    </row>
    <row r="5" spans="1:4" ht="20.25">
      <c r="A5" s="22">
        <v>3</v>
      </c>
      <c r="B5" s="20" t="s">
        <v>242</v>
      </c>
      <c r="C5" s="55">
        <f>'Saját forrás'!C21*0.7</f>
        <v>672000</v>
      </c>
      <c r="D5" t="s">
        <v>107</v>
      </c>
    </row>
    <row r="6" spans="1:4" ht="20.25">
      <c r="A6" s="22">
        <v>4</v>
      </c>
      <c r="B6" s="20" t="s">
        <v>54</v>
      </c>
      <c r="C6" s="55">
        <v>350000</v>
      </c>
      <c r="D6" s="51"/>
    </row>
    <row r="7" spans="1:3" ht="20.25">
      <c r="A7" s="22">
        <v>5</v>
      </c>
      <c r="B7" s="20" t="s">
        <v>79</v>
      </c>
      <c r="C7" s="55">
        <v>300000</v>
      </c>
    </row>
    <row r="8" spans="1:3" ht="20.25">
      <c r="A8" s="22">
        <v>6</v>
      </c>
      <c r="B8" s="20" t="s">
        <v>34</v>
      </c>
      <c r="C8" s="55">
        <v>180000</v>
      </c>
    </row>
    <row r="9" spans="1:3" ht="20.25">
      <c r="A9" s="22">
        <v>7</v>
      </c>
      <c r="B9" s="20" t="s">
        <v>91</v>
      </c>
      <c r="C9" s="55">
        <v>100000</v>
      </c>
    </row>
    <row r="10" spans="1:8" ht="20.25">
      <c r="A10" s="22">
        <v>8</v>
      </c>
      <c r="B10" s="20" t="s">
        <v>119</v>
      </c>
      <c r="C10" s="55">
        <f>280000+250000+350000+250000</f>
        <v>1130000</v>
      </c>
      <c r="D10" s="65" t="s">
        <v>180</v>
      </c>
      <c r="H10" s="65"/>
    </row>
    <row r="11" spans="1:3" ht="20.25">
      <c r="A11" s="22">
        <v>9</v>
      </c>
      <c r="B11" s="61"/>
      <c r="C11" s="55">
        <v>0</v>
      </c>
    </row>
    <row r="12" spans="1:3" ht="20.25">
      <c r="A12" s="22">
        <v>14</v>
      </c>
      <c r="B12" s="20"/>
      <c r="C12" s="55">
        <v>0</v>
      </c>
    </row>
    <row r="13" spans="1:3" ht="20.25">
      <c r="A13" s="22">
        <v>15</v>
      </c>
      <c r="B13" s="20"/>
      <c r="C13" s="55">
        <v>0</v>
      </c>
    </row>
    <row r="14" spans="1:3" ht="20.25">
      <c r="A14" s="22">
        <v>16</v>
      </c>
      <c r="B14" s="20"/>
      <c r="C14" s="55">
        <v>0</v>
      </c>
    </row>
    <row r="15" spans="1:3" ht="20.25">
      <c r="A15" s="22">
        <v>17</v>
      </c>
      <c r="B15" s="20"/>
      <c r="C15" s="55">
        <v>0</v>
      </c>
    </row>
  </sheetData>
  <sheetProtection/>
  <protectedRanges>
    <protectedRange sqref="C2:C10" name="Tartom?ny2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Kósy Nándor</dc:creator>
  <cp:keywords/>
  <dc:description/>
  <cp:lastModifiedBy>Csikós Norbert</cp:lastModifiedBy>
  <cp:lastPrinted>2019-01-15T12:10:38Z</cp:lastPrinted>
  <dcterms:created xsi:type="dcterms:W3CDTF">2010-04-07T17:58:12Z</dcterms:created>
  <dcterms:modified xsi:type="dcterms:W3CDTF">2019-04-12T06:25:54Z</dcterms:modified>
  <cp:category/>
  <cp:version/>
  <cp:contentType/>
  <cp:contentStatus/>
</cp:coreProperties>
</file>