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5850" tabRatio="959" activeTab="1"/>
  </bookViews>
  <sheets>
    <sheet name="Nyitó tételek" sheetId="1" r:id="rId1"/>
    <sheet name="Fő számok" sheetId="2" r:id="rId2"/>
    <sheet name="Állami támogatás+pályázat" sheetId="3" r:id="rId3"/>
    <sheet name="Saját forrás" sheetId="4" r:id="rId4"/>
    <sheet name="Egyéb támogatás" sheetId="5" r:id="rId5"/>
    <sheet name="Versenyre befizetések" sheetId="6" r:id="rId6"/>
    <sheet name="Edzőtábor bevétel" sheetId="7" r:id="rId7"/>
    <sheet name="Szakágak keretei" sheetId="8" r:id="rId8"/>
    <sheet name="Működési költségek" sheetId="9" r:id="rId9"/>
    <sheet name="Ügyvitel és iroda" sheetId="10" r:id="rId10"/>
    <sheet name="Közös keret" sheetId="11" r:id="rId11"/>
    <sheet name="Munkabér és jár" sheetId="12" r:id="rId12"/>
    <sheet name="Tagdíjak" sheetId="13" r:id="rId13"/>
    <sheet name="Edzők,válogatott" sheetId="14" r:id="rId14"/>
    <sheet name="Edzőtábor" sheetId="15" r:id="rId15"/>
    <sheet name="Verseny rendezés ktg" sheetId="16" r:id="rId16"/>
    <sheet name="Versenyzés költségei" sheetId="17" r:id="rId17"/>
    <sheet name="Fejlesztés" sheetId="18" r:id="rId18"/>
    <sheet name="Duna kupa" sheetId="19" r:id="rId19"/>
  </sheets>
  <definedNames/>
  <calcPr fullCalcOnLoad="1"/>
</workbook>
</file>

<file path=xl/sharedStrings.xml><?xml version="1.0" encoding="utf-8"?>
<sst xmlns="http://schemas.openxmlformats.org/spreadsheetml/2006/main" count="430" uniqueCount="335">
  <si>
    <t>Bevételek</t>
  </si>
  <si>
    <t>Kiadások</t>
  </si>
  <si>
    <t>Nyitó tétel</t>
  </si>
  <si>
    <t>Állami támogatás</t>
  </si>
  <si>
    <t>Egyéb támogatás</t>
  </si>
  <si>
    <t>Saját forrás</t>
  </si>
  <si>
    <t>Működési költségek</t>
  </si>
  <si>
    <t>Verseny rendezés költsége</t>
  </si>
  <si>
    <t>Munkabér és járulékai</t>
  </si>
  <si>
    <t>Ügyvitel és iroda működése</t>
  </si>
  <si>
    <t>Tagdíjak</t>
  </si>
  <si>
    <t>Edzőtábor költsége</t>
  </si>
  <si>
    <t>Fejlesztés</t>
  </si>
  <si>
    <t>Ssz.</t>
  </si>
  <si>
    <t>Pénztár nyitó</t>
  </si>
  <si>
    <t>Terep nyitó</t>
  </si>
  <si>
    <t>3D nyitó</t>
  </si>
  <si>
    <t>Történelmi nyitó</t>
  </si>
  <si>
    <t>Pálya nyitó</t>
  </si>
  <si>
    <t>Utánpótlás nyitó</t>
  </si>
  <si>
    <t>Ssz.:</t>
  </si>
  <si>
    <t>Régió nyitó</t>
  </si>
  <si>
    <t>Bankszámla nyitó</t>
  </si>
  <si>
    <t>Vadászíjász nyitó</t>
  </si>
  <si>
    <t>Futásíjász nyitó</t>
  </si>
  <si>
    <t>Állami támogatás működésre</t>
  </si>
  <si>
    <t>Pénztár nyitó könyvelés szerint</t>
  </si>
  <si>
    <t>Egyéb támogatások</t>
  </si>
  <si>
    <t>Tanfolyamok</t>
  </si>
  <si>
    <t>Versenyzői befizetések versenyekre</t>
  </si>
  <si>
    <t>Ügyvitel és iroda költségei</t>
  </si>
  <si>
    <t>bankköltségek</t>
  </si>
  <si>
    <t xml:space="preserve">posta költségek </t>
  </si>
  <si>
    <t>telefon költségek</t>
  </si>
  <si>
    <t>e-mail + net költség</t>
  </si>
  <si>
    <t xml:space="preserve">könyvelési díj </t>
  </si>
  <si>
    <t>közgyűlés</t>
  </si>
  <si>
    <t>egyéb költségek</t>
  </si>
  <si>
    <t>marketing költségek: külső,belső</t>
  </si>
  <si>
    <t>Alkalmazottak bére</t>
  </si>
  <si>
    <t>Alkalmazottak járulékai</t>
  </si>
  <si>
    <t>IFAA</t>
  </si>
  <si>
    <t>Magyar Paralimpiai Bizottság</t>
  </si>
  <si>
    <t>Versenyzői befizetések edzőtáborra</t>
  </si>
  <si>
    <t>Edzőtábor befizetések</t>
  </si>
  <si>
    <t>Adó 1%</t>
  </si>
  <si>
    <t>Pályázatok</t>
  </si>
  <si>
    <t>Tagdíj</t>
  </si>
  <si>
    <t>Versenyzési engedély</t>
  </si>
  <si>
    <t>3D</t>
  </si>
  <si>
    <t>Pálya</t>
  </si>
  <si>
    <t>Terep</t>
  </si>
  <si>
    <t>OB-k rendezési joga "20%</t>
  </si>
  <si>
    <t>egyéb bevétel</t>
  </si>
  <si>
    <t>Konferenciák</t>
  </si>
  <si>
    <t>Elnökségi, közgyűlés, hivatalos utak</t>
  </si>
  <si>
    <t>Egyebek költségtérítése</t>
  </si>
  <si>
    <t>Érmek felnőtt OB-ra</t>
  </si>
  <si>
    <t>pálya</t>
  </si>
  <si>
    <t>terep</t>
  </si>
  <si>
    <t xml:space="preserve">történelmi </t>
  </si>
  <si>
    <t>futásíjászat</t>
  </si>
  <si>
    <t>Íjász lap példányok tagoknak</t>
  </si>
  <si>
    <t>Bankett Díjazás költségek</t>
  </si>
  <si>
    <t>Íjász bankett költsége</t>
  </si>
  <si>
    <t>Alapítvány támogatása</t>
  </si>
  <si>
    <t>Főfogl</t>
  </si>
  <si>
    <t>Főtitkár</t>
  </si>
  <si>
    <t>Havi</t>
  </si>
  <si>
    <t>Éves</t>
  </si>
  <si>
    <t>Felelősség biztosítás</t>
  </si>
  <si>
    <t>Történelmi</t>
  </si>
  <si>
    <t>Vadász</t>
  </si>
  <si>
    <t>Szabadon felhasználható</t>
  </si>
  <si>
    <t>Közös keret</t>
  </si>
  <si>
    <t>Edzőképzés, válogatott</t>
  </si>
  <si>
    <t>Reprezentációs költségek</t>
  </si>
  <si>
    <t>Terembérlet</t>
  </si>
  <si>
    <t>Bírók, BTE képzése</t>
  </si>
  <si>
    <t xml:space="preserve">Utánpótlás </t>
  </si>
  <si>
    <t>Irodai gépek</t>
  </si>
  <si>
    <t>Íjászat napja</t>
  </si>
  <si>
    <t>Pályázatok költsége</t>
  </si>
  <si>
    <t>Versenyzés költségei</t>
  </si>
  <si>
    <t>Tartalék</t>
  </si>
  <si>
    <t>mobil költségek</t>
  </si>
  <si>
    <t>Bevétel 20%-a</t>
  </si>
  <si>
    <t>Szponzorok</t>
  </si>
  <si>
    <t>Elnökségi ülések</t>
  </si>
  <si>
    <t>Fedett pálya díja Syma</t>
  </si>
  <si>
    <t>Össz bevétel</t>
  </si>
  <si>
    <t>Ossz működés</t>
  </si>
  <si>
    <t>MISZ pálya fenntartás</t>
  </si>
  <si>
    <t>Weblap</t>
  </si>
  <si>
    <t>IAA</t>
  </si>
  <si>
    <t>Felelősségbiztosítás</t>
  </si>
  <si>
    <t>3D Válogatott IAA GP-k</t>
  </si>
  <si>
    <t>Íjász fesztivál</t>
  </si>
  <si>
    <t>2016 és 2020 Dreamteam olimp csap</t>
  </si>
  <si>
    <t>Saját versenyek bevételeinek 70%-a</t>
  </si>
  <si>
    <t>GP-k bevételei, jogdíjai</t>
  </si>
  <si>
    <t>Összes Költség</t>
  </si>
  <si>
    <t>AlkalmazottakKöltségtérítése</t>
  </si>
  <si>
    <t>Bevétel 70%-a</t>
  </si>
  <si>
    <t>költséghányadként elszámolva</t>
  </si>
  <si>
    <t>km</t>
  </si>
  <si>
    <t>75ft/km</t>
  </si>
  <si>
    <t>engedm30%</t>
  </si>
  <si>
    <t>engedm50%</t>
  </si>
  <si>
    <t>szponzoráció</t>
  </si>
  <si>
    <t>Kiadványra pályázat</t>
  </si>
  <si>
    <t>Nettó díj</t>
  </si>
  <si>
    <t>átlag 20%</t>
  </si>
  <si>
    <t>CEC</t>
  </si>
  <si>
    <t>nev díjak</t>
  </si>
  <si>
    <t>Hivatalos utak,kiséret</t>
  </si>
  <si>
    <t>Pályázat a 3 legtöbb engedélyt kiváltó tagnak</t>
  </si>
  <si>
    <t>Paralimpiai bizottság támog</t>
  </si>
  <si>
    <t>nincs tervezve</t>
  </si>
  <si>
    <t>Összesen OB érmekkel!</t>
  </si>
  <si>
    <t>WA</t>
  </si>
  <si>
    <t>Sportigazgató</t>
  </si>
  <si>
    <t>Adatbázis kezelő és honlap felület</t>
  </si>
  <si>
    <t>Műszaki fejlesztések</t>
  </si>
  <si>
    <t xml:space="preserve">2 Fix Terepíjász pálya kiépítése </t>
  </si>
  <si>
    <t>"A" versenyzők támogatása</t>
  </si>
  <si>
    <t>Munkabér és járulékai és költségtérítések</t>
  </si>
  <si>
    <t>Munkatárs, napi ügyek, versnyengedélyek, számlázás, pénztár</t>
  </si>
  <si>
    <t>Versenyszervezési díj</t>
  </si>
  <si>
    <t>Generáli biztosító</t>
  </si>
  <si>
    <t>IAA 3D GP</t>
  </si>
  <si>
    <t>Regional Cup HUN, CEC</t>
  </si>
  <si>
    <t>Irodák</t>
  </si>
  <si>
    <t>m2</t>
  </si>
  <si>
    <t>díj</t>
  </si>
  <si>
    <t>Éves bérleti díj</t>
  </si>
  <si>
    <t>Támogatás Eleventől/ év</t>
  </si>
  <si>
    <t>Támogatott ésves díj</t>
  </si>
  <si>
    <t>Engedmény 63%</t>
  </si>
  <si>
    <t>Duna kupa költségvetés</t>
  </si>
  <si>
    <t>Költségek</t>
  </si>
  <si>
    <t>Hévíz</t>
  </si>
  <si>
    <t>Résztvevők száma</t>
  </si>
  <si>
    <t>fő</t>
  </si>
  <si>
    <t>lővonalhossz minimum</t>
  </si>
  <si>
    <t>m</t>
  </si>
  <si>
    <t>Bevétel</t>
  </si>
  <si>
    <t>Fő</t>
  </si>
  <si>
    <t>db</t>
  </si>
  <si>
    <t>Ft/db/nap</t>
  </si>
  <si>
    <t>Összesen</t>
  </si>
  <si>
    <t>Megjegyz</t>
  </si>
  <si>
    <t>Bírók</t>
  </si>
  <si>
    <t>Iroda</t>
  </si>
  <si>
    <t>Pályaépítők</t>
  </si>
  <si>
    <t>Sátrak bérlése</t>
  </si>
  <si>
    <t>Vesszőfogók bérlet</t>
  </si>
  <si>
    <t>Db</t>
  </si>
  <si>
    <t>Fogyóeszközök</t>
  </si>
  <si>
    <t>Étkeztetés 1 ebéd (egytál)</t>
  </si>
  <si>
    <t>Nevezési díjak(amiket nem fizetnek be DK)</t>
  </si>
  <si>
    <t>Érmek</t>
  </si>
  <si>
    <t>Útelszámolás</t>
  </si>
  <si>
    <t>BP-hez képesti +költség</t>
  </si>
  <si>
    <t>Szállás dolgozók</t>
  </si>
  <si>
    <t>Molinók, plakátok, népszerűsítés</t>
  </si>
  <si>
    <t>2nap</t>
  </si>
  <si>
    <t>Duna kupa</t>
  </si>
  <si>
    <t>4 500 Ft átlag nevezési díj</t>
  </si>
  <si>
    <t>24 egyéni+24 a csapatonak(A8,E8,B8+csapat ugyanez</t>
  </si>
  <si>
    <t>Összesen finanszírozási hiány</t>
  </si>
  <si>
    <t>Szállítás felszerelés kamionnal</t>
  </si>
  <si>
    <t>Összes Bevétel</t>
  </si>
  <si>
    <t>Szállás fzetendő 12*2+2 fő</t>
  </si>
  <si>
    <t>oda vissza Pestre</t>
  </si>
  <si>
    <t>Bankszámla FT nyitó könyvelés szerint</t>
  </si>
  <si>
    <t>Bankszámla EUR nyitó könyvelés szerint</t>
  </si>
  <si>
    <t>Edzőtábor vocher</t>
  </si>
  <si>
    <t>IFAA kongr,+Emau kongr+ WA.</t>
  </si>
  <si>
    <t>Tárgyaló 50%</t>
  </si>
  <si>
    <t>Havi bruttó bérleti díj rezsivel iroda+ tárgyaló 50%</t>
  </si>
  <si>
    <t xml:space="preserve">Eleven </t>
  </si>
  <si>
    <t>Magyar Íjász Szövetség</t>
  </si>
  <si>
    <t>Hónapok</t>
  </si>
  <si>
    <t>Március</t>
  </si>
  <si>
    <t>Április</t>
  </si>
  <si>
    <t>Május</t>
  </si>
  <si>
    <t>Június</t>
  </si>
  <si>
    <t>Július</t>
  </si>
  <si>
    <t>Augusztus</t>
  </si>
  <si>
    <t>Szeptber</t>
  </si>
  <si>
    <t>Október</t>
  </si>
  <si>
    <t>Dátum</t>
  </si>
  <si>
    <t>Verseny</t>
  </si>
  <si>
    <t>European Field Championships</t>
  </si>
  <si>
    <t>Helyszín</t>
  </si>
  <si>
    <t>Wroclaw (POL)</t>
  </si>
  <si>
    <t>Versenyzők</t>
  </si>
  <si>
    <t>Személyzet</t>
  </si>
  <si>
    <t>xy. csap.kap.</t>
  </si>
  <si>
    <t>xy csap. kap.</t>
  </si>
  <si>
    <t>Utazás</t>
  </si>
  <si>
    <t>Szállás (egyéni)</t>
  </si>
  <si>
    <t>Étkezés (egyéni)</t>
  </si>
  <si>
    <t>Nevezés (egyéni)</t>
  </si>
  <si>
    <t>Szállás (hivatalos)</t>
  </si>
  <si>
    <t>Étkezés (hivatalos)</t>
  </si>
  <si>
    <t>Nevezés (hivatalos)</t>
  </si>
  <si>
    <t>Csapat létszáma</t>
  </si>
  <si>
    <t>Összesítés</t>
  </si>
  <si>
    <t>Felkészülő versenyek VB-re</t>
  </si>
  <si>
    <t>Ifi versenyek</t>
  </si>
  <si>
    <t>Para</t>
  </si>
  <si>
    <t>Össz versenyek</t>
  </si>
  <si>
    <t>egyéb</t>
  </si>
  <si>
    <t>Manager általános napi ügyek</t>
  </si>
  <si>
    <t>Cash</t>
  </si>
  <si>
    <t>Papíron</t>
  </si>
  <si>
    <t>Rio felkészülés</t>
  </si>
  <si>
    <t>Fejlesztési támogatás</t>
  </si>
  <si>
    <t>Júniustól júliusig</t>
  </si>
  <si>
    <t>1-6m</t>
  </si>
  <si>
    <t xml:space="preserve">MOB kártya díja  </t>
  </si>
  <si>
    <t>Régióknak visszaadott 80%</t>
  </si>
  <si>
    <t>3 ob</t>
  </si>
  <si>
    <t>2ob</t>
  </si>
  <si>
    <t>10.000Ft, 120 verseny</t>
  </si>
  <si>
    <t>2 OB</t>
  </si>
  <si>
    <t>3 OB</t>
  </si>
  <si>
    <t>Tanfolyamok, bírók képzése</t>
  </si>
  <si>
    <t>BTE tanfolyam</t>
  </si>
  <si>
    <t>befizetések 90%</t>
  </si>
  <si>
    <t>nev díj 90%-a</t>
  </si>
  <si>
    <t>VB részvétel válogatott</t>
  </si>
  <si>
    <t>Versenyengedély sürgösségi díja</t>
  </si>
  <si>
    <t xml:space="preserve"> Megbízottak költségtérítése</t>
  </si>
  <si>
    <t>MOB (kártya díja)</t>
  </si>
  <si>
    <t>Engedmény 50%</t>
  </si>
  <si>
    <t xml:space="preserve">irodaszer, </t>
  </si>
  <si>
    <t>fénymásolás költs</t>
  </si>
  <si>
    <t>Programok, softwear nemzetközi versenyhez,honlap</t>
  </si>
  <si>
    <t>Vesszőfogók  javítása szponzorált Eleven</t>
  </si>
  <si>
    <t>Vesszőfogók beszerzése szponzorált Eleven</t>
  </si>
  <si>
    <t>Iskolaprogram ra csomag 20 db szponzorált Eleven</t>
  </si>
  <si>
    <t>engedm40%</t>
  </si>
  <si>
    <t>1600 versenyengedély</t>
  </si>
  <si>
    <t>Banda Árpi- Gerevich ösztöndíj</t>
  </si>
  <si>
    <t>Építkezésre-re elhatárolt Tétel</t>
  </si>
  <si>
    <t>160 tagegyesületet feltételezve</t>
  </si>
  <si>
    <t>Össz.1600 engedély. 1000 versenyengedély3150,-Ft/fő +300 db 14 év alatt 650,-Ft/fő</t>
  </si>
  <si>
    <t>2018 éves támogatás 2018-as része</t>
  </si>
  <si>
    <t>*</t>
  </si>
  <si>
    <t>2 ob</t>
  </si>
  <si>
    <t>Történelmi kval</t>
  </si>
  <si>
    <t xml:space="preserve">Versenyek saját rendezésű, </t>
  </si>
  <si>
    <t>MISZ Pálya bérleti díja, áram</t>
  </si>
  <si>
    <t xml:space="preserve">közüzemi díjak bérleti díjak irodák </t>
  </si>
  <si>
    <t>raktárak</t>
  </si>
  <si>
    <t>Régiós edzők</t>
  </si>
  <si>
    <t>Szöv kap+ nemzeti edzők tisztd</t>
  </si>
  <si>
    <t>Szöv kap+ nemzeti edzők költségtér</t>
  </si>
  <si>
    <t>Élsportolói támog. Banda, Orosz</t>
  </si>
  <si>
    <t>Eredmányességi tám 2016 összes szakág</t>
  </si>
  <si>
    <t>Csapat</t>
  </si>
  <si>
    <t xml:space="preserve">Történelmi  </t>
  </si>
  <si>
    <t xml:space="preserve">Pálya Felkészülő versenyek </t>
  </si>
  <si>
    <t>2017. évi nemzetközi versenyek és utazó csapat - tervezet</t>
  </si>
  <si>
    <t>Január</t>
  </si>
  <si>
    <t>február</t>
  </si>
  <si>
    <t>November</t>
  </si>
  <si>
    <t>December</t>
  </si>
  <si>
    <t>Március 7-11</t>
  </si>
  <si>
    <t>Április 8.</t>
  </si>
  <si>
    <t xml:space="preserve"> április 17-22.</t>
  </si>
  <si>
    <t>Június 17.</t>
  </si>
  <si>
    <t>Július 1.</t>
  </si>
  <si>
    <t>Július 20-30.</t>
  </si>
  <si>
    <t>Augusztus 22-26</t>
  </si>
  <si>
    <t>szeptember 5-9.</t>
  </si>
  <si>
    <t>szeptember 16-17.</t>
  </si>
  <si>
    <t>Október 2-8</t>
  </si>
  <si>
    <t>Október 15-22</t>
  </si>
  <si>
    <t>Terem EB</t>
  </si>
  <si>
    <t>CEC 1. Szlovákia</t>
  </si>
  <si>
    <t>European Grand Prix, 1st. Leg.</t>
  </si>
  <si>
    <t xml:space="preserve">CEC 2. </t>
  </si>
  <si>
    <t xml:space="preserve">CEC 3.   </t>
  </si>
  <si>
    <t>World Games</t>
  </si>
  <si>
    <t>European Grand Prix, 2st. Leg.</t>
  </si>
  <si>
    <t xml:space="preserve">CEC 4.   </t>
  </si>
  <si>
    <t>Y World Championships WA</t>
  </si>
  <si>
    <t>World Championships WA</t>
  </si>
  <si>
    <t>Vittel (FRO)</t>
  </si>
  <si>
    <t>? Szlovákia</t>
  </si>
  <si>
    <t>Legnica (POL)</t>
  </si>
  <si>
    <t>? Ausztria</t>
  </si>
  <si>
    <t>Zágráb  (CRO)</t>
  </si>
  <si>
    <t>? (ROM)</t>
  </si>
  <si>
    <t>Mokrice Catez (SLO)</t>
  </si>
  <si>
    <t>(HUN)</t>
  </si>
  <si>
    <t>Rosario (Arg)</t>
  </si>
  <si>
    <t>Mexico (MEX)</t>
  </si>
  <si>
    <t xml:space="preserve">Orosz Viktor </t>
  </si>
  <si>
    <r>
      <rPr>
        <b/>
        <sz val="10"/>
        <rFont val="Centaur"/>
        <family val="1"/>
      </rPr>
      <t xml:space="preserve">Banda Árpád, Orosz Viktor ?                 </t>
    </r>
    <r>
      <rPr>
        <sz val="10"/>
        <rFont val="Centaur"/>
        <family val="1"/>
      </rPr>
      <t xml:space="preserve"> Buzás Károly, Szűts Mátyás, Zoltán Levente, Balogh Mátyás                           Péller József, Komáromi Tamás</t>
    </r>
  </si>
  <si>
    <t>Banda Árpád</t>
  </si>
  <si>
    <t>Kakas István</t>
  </si>
  <si>
    <t>Orosz Viktor</t>
  </si>
  <si>
    <t>Banda Árpád,           Orosz Viktor</t>
  </si>
  <si>
    <t>Banda Gábor csap. kap.</t>
  </si>
  <si>
    <t>Banda Tibor csap. kap.</t>
  </si>
  <si>
    <t>xy. csap. kap.</t>
  </si>
  <si>
    <t>Költség/fő</t>
  </si>
  <si>
    <t>2K, 6A</t>
  </si>
  <si>
    <t>2K, 1A, Viktor nem lőtt semmilyen szintet 2016-ban terepen!</t>
  </si>
  <si>
    <t>Összesen Euro:</t>
  </si>
  <si>
    <t>Összesen Forint:</t>
  </si>
  <si>
    <t>Pálya VB</t>
  </si>
  <si>
    <t>Egyéb</t>
  </si>
  <si>
    <r>
      <t>Kakas István, Buzás Károly,</t>
    </r>
    <r>
      <rPr>
        <b/>
        <sz val="10"/>
        <color indexed="8"/>
        <rFont val="Centaur"/>
        <family val="1"/>
      </rPr>
      <t xml:space="preserve"> Molnár József</t>
    </r>
  </si>
  <si>
    <t>vesszőfogó háló , szponzorált Eleven</t>
  </si>
  <si>
    <t xml:space="preserve"> lámpák és tartó 40 vesszőfogóra</t>
  </si>
  <si>
    <t>Iskolaprogramra képzés és egyéb költségek 10 iskola</t>
  </si>
  <si>
    <t xml:space="preserve">Szakágak keretei </t>
  </si>
  <si>
    <t>2017. éves működésre MOB</t>
  </si>
  <si>
    <t>2017. évi olimpiai szakmai alapfeladatok</t>
  </si>
  <si>
    <t>2017. évi olimpiai alap támogatás</t>
  </si>
  <si>
    <t>2017. évi tömegsport feladatok</t>
  </si>
  <si>
    <t>2017. évi Világjátékok részvétel</t>
  </si>
  <si>
    <t>Edző Program</t>
  </si>
  <si>
    <t>2017. évi Duna Kupa</t>
  </si>
  <si>
    <t>Ezt még nem tudjuk</t>
  </si>
  <si>
    <t>Menedzser 1, Kommunikáció,</t>
  </si>
  <si>
    <t>Magyar Íjász Szövetség 2017. évi költségvetése</t>
  </si>
  <si>
    <t>Tárgyév egyenlege</t>
  </si>
  <si>
    <t>Pénztár záró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</si>
</sst>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  <numFmt numFmtId="175" formatCode="0.0"/>
    <numFmt numFmtId="176" formatCode="0.00000"/>
    <numFmt numFmtId="177" formatCode="0.000000"/>
    <numFmt numFmtId="178" formatCode="0.0000"/>
    <numFmt numFmtId="179" formatCode="0.000"/>
    <numFmt numFmtId="180" formatCode="0.0%"/>
    <numFmt numFmtId="181" formatCode="[$-40E]mmmm\ d\.;@"/>
    <numFmt numFmtId="182" formatCode="m\.\ d\.;@"/>
    <numFmt numFmtId="183" formatCode="yyyy/\ m/\ d\.;@"/>
    <numFmt numFmtId="184" formatCode="0.00000000"/>
    <numFmt numFmtId="185" formatCode="0.0000000"/>
    <numFmt numFmtId="186" formatCode="#,##0.0"/>
    <numFmt numFmtId="187" formatCode="#,##0.000"/>
    <numFmt numFmtId="188" formatCode="_-* #,##0\ [$Ft-40E]_-;\-* #,##0\ [$Ft-40E]_-;_-* &quot;-&quot;??\ [$Ft-40E]_-;_-@_-"/>
    <numFmt numFmtId="189" formatCode="_-* #,##0.0\ [$Ft-40E]_-;\-* #,##0.0\ [$Ft-40E]_-;_-* &quot;-&quot;??\ [$Ft-40E]_-;_-@_-"/>
    <numFmt numFmtId="190" formatCode="_-* #,##0.00\ [$Ft-40E]_-;\-* #,##0.00\ [$Ft-40E]_-;_-* &quot;-&quot;??\ [$Ft-40E]_-;_-@_-"/>
    <numFmt numFmtId="191" formatCode="_-* #,##0.000\ [$Ft-40E]_-;\-* #,##0.000\ [$Ft-40E]_-;_-* &quot;-&quot;??\ [$Ft-40E]_-;_-@_-"/>
    <numFmt numFmtId="192" formatCode="_-* #,##0.0000\ [$Ft-40E]_-;\-* #,##0.0000\ [$Ft-40E]_-;_-* &quot;-&quot;??\ [$Ft-40E]_-;_-@_-"/>
    <numFmt numFmtId="193" formatCode="_-* #,##0.00000\ [$Ft-40E]_-;\-* #,##0.00000\ [$Ft-40E]_-;_-* &quot;-&quot;??\ [$Ft-40E]_-;_-@_-"/>
    <numFmt numFmtId="194" formatCode="_-* #,##0.000000\ [$Ft-40E]_-;\-* #,##0.000000\ [$Ft-40E]_-;_-* &quot;-&quot;??\ [$Ft-40E]_-;_-@_-"/>
    <numFmt numFmtId="195" formatCode="_-* #,##0.0000000\ [$Ft-40E]_-;\-* #,##0.0000000\ [$Ft-40E]_-;_-* &quot;-&quot;??\ [$Ft-40E]_-;_-@_-"/>
    <numFmt numFmtId="196" formatCode="_-* #,##0.00000000\ [$Ft-40E]_-;\-* #,##0.00000000\ [$Ft-40E]_-;_-* &quot;-&quot;??\ [$Ft-40E]_-;_-@_-"/>
    <numFmt numFmtId="197" formatCode="_-* #,##0.000000000\ [$Ft-40E]_-;\-* #,##0.000000000\ [$Ft-40E]_-;_-* &quot;-&quot;??\ [$Ft-40E]_-;_-@_-"/>
    <numFmt numFmtId="198" formatCode="[$-F800]dddd\,\ mmmm\ dd\,\ yyyy"/>
    <numFmt numFmtId="199" formatCode="_-* #,##0\ [$€-1]_-;\-* #,##0\ [$€-1]_-;_-* &quot;-&quot;??\ [$€-1]_-;_-@_-"/>
  </numFmts>
  <fonts count="128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8"/>
      <name val="Times New Roman CE"/>
      <family val="0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E"/>
      <family val="1"/>
    </font>
    <font>
      <sz val="12"/>
      <name val="Arial"/>
      <family val="2"/>
    </font>
    <font>
      <sz val="14"/>
      <name val="Times New Roman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 CE"/>
      <family val="1"/>
    </font>
    <font>
      <sz val="8"/>
      <name val="Centaur"/>
      <family val="1"/>
    </font>
    <font>
      <sz val="10"/>
      <name val="Centaur"/>
      <family val="1"/>
    </font>
    <font>
      <b/>
      <sz val="10"/>
      <name val="Centaur"/>
      <family val="1"/>
    </font>
    <font>
      <b/>
      <sz val="12"/>
      <name val="Centaur"/>
      <family val="1"/>
    </font>
    <font>
      <sz val="11"/>
      <name val="Centaur"/>
      <family val="1"/>
    </font>
    <font>
      <b/>
      <sz val="11"/>
      <name val="Centaur"/>
      <family val="1"/>
    </font>
    <font>
      <b/>
      <sz val="10"/>
      <color indexed="8"/>
      <name val="Centaur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onstantia"/>
      <family val="1"/>
    </font>
    <font>
      <b/>
      <sz val="14"/>
      <color indexed="8"/>
      <name val="Constantia"/>
      <family val="1"/>
    </font>
    <font>
      <sz val="12"/>
      <color indexed="10"/>
      <name val="Arial"/>
      <family val="2"/>
    </font>
    <font>
      <sz val="16"/>
      <color indexed="8"/>
      <name val="Times New Roman CE"/>
      <family val="1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onstantia"/>
      <family val="1"/>
    </font>
    <font>
      <b/>
      <sz val="10"/>
      <color indexed="8"/>
      <name val="Constantia"/>
      <family val="1"/>
    </font>
    <font>
      <sz val="8"/>
      <color indexed="8"/>
      <name val="Constantia"/>
      <family val="1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8"/>
      <color indexed="8"/>
      <name val="Centaur"/>
      <family val="1"/>
    </font>
    <font>
      <b/>
      <sz val="14"/>
      <color indexed="8"/>
      <name val="Centaur"/>
      <family val="1"/>
    </font>
    <font>
      <sz val="14"/>
      <color indexed="8"/>
      <name val="Centaur"/>
      <family val="1"/>
    </font>
    <font>
      <sz val="10"/>
      <color indexed="8"/>
      <name val="Centaur"/>
      <family val="1"/>
    </font>
    <font>
      <sz val="11"/>
      <color indexed="8"/>
      <name val="Centaur"/>
      <family val="1"/>
    </font>
    <font>
      <sz val="10"/>
      <color indexed="55"/>
      <name val="Centaur"/>
      <family val="1"/>
    </font>
    <font>
      <b/>
      <sz val="10"/>
      <color indexed="55"/>
      <name val="Centaur"/>
      <family val="1"/>
    </font>
    <font>
      <sz val="8"/>
      <color indexed="10"/>
      <name val="Centaur"/>
      <family val="1"/>
    </font>
    <font>
      <b/>
      <sz val="12"/>
      <color indexed="10"/>
      <name val="Centaur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Centaur"/>
      <family val="1"/>
    </font>
    <font>
      <sz val="10"/>
      <color indexed="8"/>
      <name val="Calibri"/>
      <family val="2"/>
    </font>
    <font>
      <b/>
      <sz val="11"/>
      <color indexed="8"/>
      <name val="Centaur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000000"/>
      <name val="Constantia"/>
      <family val="1"/>
    </font>
    <font>
      <b/>
      <sz val="14"/>
      <color rgb="FF000000"/>
      <name val="Constantia"/>
      <family val="1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theme="1"/>
      <name val="Times New Roman CE"/>
      <family val="1"/>
    </font>
    <font>
      <sz val="16"/>
      <color theme="1"/>
      <name val="Arial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8"/>
      <color rgb="FFFF0000"/>
      <name val="Constantia"/>
      <family val="1"/>
    </font>
    <font>
      <b/>
      <sz val="10"/>
      <color rgb="FF000000"/>
      <name val="Constantia"/>
      <family val="1"/>
    </font>
    <font>
      <sz val="8"/>
      <color rgb="FF000000"/>
      <name val="Constantia"/>
      <family val="1"/>
    </font>
    <font>
      <b/>
      <sz val="10"/>
      <color rgb="FF000000"/>
      <name val="Centaur"/>
      <family val="1"/>
    </font>
    <font>
      <b/>
      <sz val="12"/>
      <color rgb="FF000000"/>
      <name val="Centaur"/>
      <family val="1"/>
    </font>
    <font>
      <sz val="12"/>
      <color rgb="FF000000"/>
      <name val="Centaur"/>
      <family val="1"/>
    </font>
    <font>
      <sz val="8"/>
      <color rgb="FF000000"/>
      <name val="Centaur"/>
      <family val="1"/>
    </font>
    <font>
      <b/>
      <sz val="14"/>
      <color rgb="FF000000"/>
      <name val="Centaur"/>
      <family val="1"/>
    </font>
    <font>
      <sz val="14"/>
      <color rgb="FF000000"/>
      <name val="Centaur"/>
      <family val="1"/>
    </font>
    <font>
      <sz val="10"/>
      <color rgb="FF000000"/>
      <name val="Centaur"/>
      <family val="1"/>
    </font>
    <font>
      <sz val="11"/>
      <color rgb="FF000000"/>
      <name val="Centaur"/>
      <family val="1"/>
    </font>
    <font>
      <sz val="10"/>
      <color theme="0" tint="-0.3499799966812134"/>
      <name val="Centaur"/>
      <family val="1"/>
    </font>
    <font>
      <b/>
      <sz val="10"/>
      <color theme="0" tint="-0.3499799966812134"/>
      <name val="Centaur"/>
      <family val="1"/>
    </font>
    <font>
      <sz val="8"/>
      <color rgb="FFFF0000"/>
      <name val="Centaur"/>
      <family val="1"/>
    </font>
    <font>
      <b/>
      <sz val="12"/>
      <color rgb="FFFF0000"/>
      <name val="Centaur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Centaur"/>
      <family val="1"/>
    </font>
    <font>
      <sz val="10"/>
      <color rgb="FF000000"/>
      <name val="Calibri"/>
      <family val="2"/>
    </font>
    <font>
      <b/>
      <sz val="11"/>
      <color rgb="FF000000"/>
      <name val="Centaur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8" borderId="7" applyNumberFormat="0" applyFont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9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172" fontId="2" fillId="33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4" fontId="0" fillId="0" borderId="18" xfId="60" applyNumberFormat="1" applyFont="1" applyBorder="1" applyAlignment="1">
      <alignment/>
    </xf>
    <xf numFmtId="174" fontId="0" fillId="0" borderId="19" xfId="60" applyNumberFormat="1" applyFont="1" applyBorder="1" applyAlignment="1">
      <alignment/>
    </xf>
    <xf numFmtId="174" fontId="0" fillId="0" borderId="20" xfId="60" applyNumberFormat="1" applyFont="1" applyBorder="1" applyAlignment="1">
      <alignment/>
    </xf>
    <xf numFmtId="174" fontId="0" fillId="0" borderId="0" xfId="60" applyNumberFormat="1" applyFont="1" applyAlignment="1">
      <alignment/>
    </xf>
    <xf numFmtId="174" fontId="1" fillId="0" borderId="21" xfId="6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174" fontId="4" fillId="0" borderId="18" xfId="6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174" fontId="4" fillId="0" borderId="19" xfId="6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4" fontId="4" fillId="0" borderId="20" xfId="60" applyNumberFormat="1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174" fontId="5" fillId="33" borderId="21" xfId="6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3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9" fontId="0" fillId="0" borderId="0" xfId="67" applyFont="1" applyAlignment="1">
      <alignment/>
    </xf>
    <xf numFmtId="3" fontId="0" fillId="0" borderId="0" xfId="0" applyNumberFormat="1" applyAlignment="1">
      <alignment wrapText="1"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5" fillId="33" borderId="21" xfId="60" applyNumberFormat="1" applyFont="1" applyFill="1" applyBorder="1" applyAlignment="1">
      <alignment/>
    </xf>
    <xf numFmtId="3" fontId="4" fillId="0" borderId="18" xfId="60" applyNumberFormat="1" applyFont="1" applyBorder="1" applyAlignment="1">
      <alignment/>
    </xf>
    <xf numFmtId="3" fontId="4" fillId="0" borderId="19" xfId="60" applyNumberFormat="1" applyFont="1" applyBorder="1" applyAlignment="1">
      <alignment/>
    </xf>
    <xf numFmtId="3" fontId="4" fillId="0" borderId="20" xfId="6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33" borderId="26" xfId="0" applyFont="1" applyFill="1" applyBorder="1" applyAlignment="1">
      <alignment/>
    </xf>
    <xf numFmtId="3" fontId="5" fillId="33" borderId="27" xfId="6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0" fontId="0" fillId="0" borderId="28" xfId="0" applyBorder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29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5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8" xfId="0" applyNumberForma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0" borderId="23" xfId="0" applyFont="1" applyBorder="1" applyAlignment="1">
      <alignment/>
    </xf>
    <xf numFmtId="3" fontId="10" fillId="0" borderId="3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0" fontId="9" fillId="0" borderId="11" xfId="0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7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33" borderId="17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2" fillId="33" borderId="21" xfId="60" applyNumberFormat="1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17" fillId="0" borderId="10" xfId="0" applyFont="1" applyBorder="1" applyAlignment="1">
      <alignment/>
    </xf>
    <xf numFmtId="3" fontId="11" fillId="0" borderId="18" xfId="6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1" fillId="0" borderId="11" xfId="0" applyFont="1" applyBorder="1" applyAlignment="1">
      <alignment horizontal="center"/>
    </xf>
    <xf numFmtId="3" fontId="11" fillId="0" borderId="19" xfId="6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3" fontId="11" fillId="0" borderId="20" xfId="6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60" applyNumberFormat="1" applyFont="1" applyBorder="1" applyAlignment="1">
      <alignment/>
    </xf>
    <xf numFmtId="3" fontId="11" fillId="0" borderId="34" xfId="60" applyNumberFormat="1" applyFont="1" applyBorder="1" applyAlignment="1">
      <alignment/>
    </xf>
    <xf numFmtId="1" fontId="0" fillId="0" borderId="0" xfId="0" applyNumberFormat="1" applyAlignment="1">
      <alignment/>
    </xf>
    <xf numFmtId="3" fontId="11" fillId="0" borderId="0" xfId="46" applyNumberFormat="1" applyFont="1" applyAlignment="1">
      <alignment/>
    </xf>
    <xf numFmtId="3" fontId="1" fillId="0" borderId="0" xfId="0" applyNumberFormat="1" applyFont="1" applyAlignment="1">
      <alignment/>
    </xf>
    <xf numFmtId="0" fontId="5" fillId="33" borderId="35" xfId="0" applyFont="1" applyFill="1" applyBorder="1" applyAlignment="1">
      <alignment horizontal="center"/>
    </xf>
    <xf numFmtId="174" fontId="5" fillId="33" borderId="27" xfId="60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left"/>
    </xf>
    <xf numFmtId="3" fontId="14" fillId="0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/>
    </xf>
    <xf numFmtId="174" fontId="5" fillId="33" borderId="19" xfId="60" applyNumberFormat="1" applyFont="1" applyFill="1" applyBorder="1" applyAlignment="1">
      <alignment/>
    </xf>
    <xf numFmtId="174" fontId="5" fillId="33" borderId="24" xfId="60" applyNumberFormat="1" applyFont="1" applyFill="1" applyBorder="1" applyAlignment="1">
      <alignment/>
    </xf>
    <xf numFmtId="174" fontId="5" fillId="34" borderId="20" xfId="60" applyNumberFormat="1" applyFont="1" applyFill="1" applyBorder="1" applyAlignment="1">
      <alignment/>
    </xf>
    <xf numFmtId="174" fontId="4" fillId="0" borderId="36" xfId="60" applyNumberFormat="1" applyFont="1" applyBorder="1" applyAlignment="1">
      <alignment/>
    </xf>
    <xf numFmtId="174" fontId="4" fillId="0" borderId="37" xfId="6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9" fontId="4" fillId="0" borderId="15" xfId="67" applyFont="1" applyBorder="1" applyAlignment="1">
      <alignment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16" fillId="35" borderId="10" xfId="0" applyFont="1" applyFill="1" applyBorder="1" applyAlignment="1">
      <alignment/>
    </xf>
    <xf numFmtId="3" fontId="4" fillId="35" borderId="18" xfId="6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174" fontId="4" fillId="0" borderId="19" xfId="6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60" applyNumberFormat="1" applyFont="1" applyBorder="1" applyAlignment="1">
      <alignment/>
    </xf>
    <xf numFmtId="3" fontId="20" fillId="35" borderId="18" xfId="60" applyNumberFormat="1" applyFont="1" applyFill="1" applyBorder="1" applyAlignment="1">
      <alignment/>
    </xf>
    <xf numFmtId="3" fontId="20" fillId="35" borderId="10" xfId="60" applyNumberFormat="1" applyFont="1" applyFill="1" applyBorder="1" applyAlignment="1">
      <alignment/>
    </xf>
    <xf numFmtId="0" fontId="98" fillId="0" borderId="0" xfId="0" applyFont="1" applyAlignment="1">
      <alignment/>
    </xf>
    <xf numFmtId="1" fontId="98" fillId="0" borderId="0" xfId="0" applyNumberFormat="1" applyFont="1" applyAlignment="1">
      <alignment/>
    </xf>
    <xf numFmtId="0" fontId="98" fillId="0" borderId="28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Alignment="1">
      <alignment horizont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42" xfId="0" applyFont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0" fillId="0" borderId="41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 wrapText="1"/>
    </xf>
    <xf numFmtId="3" fontId="0" fillId="0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3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3" fontId="0" fillId="0" borderId="0" xfId="0" applyNumberFormat="1" applyFill="1" applyAlignment="1">
      <alignment/>
    </xf>
    <xf numFmtId="9" fontId="0" fillId="0" borderId="0" xfId="67" applyFont="1" applyFill="1" applyAlignment="1">
      <alignment/>
    </xf>
    <xf numFmtId="3" fontId="0" fillId="0" borderId="0" xfId="0" applyNumberFormat="1" applyFont="1" applyFill="1" applyAlignment="1">
      <alignment/>
    </xf>
    <xf numFmtId="0" fontId="99" fillId="0" borderId="0" xfId="0" applyFont="1" applyAlignment="1">
      <alignment/>
    </xf>
    <xf numFmtId="3" fontId="9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00" fillId="0" borderId="0" xfId="0" applyNumberFormat="1" applyFont="1" applyFill="1" applyBorder="1" applyAlignment="1">
      <alignment horizontal="center"/>
    </xf>
    <xf numFmtId="3" fontId="101" fillId="0" borderId="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3" fontId="14" fillId="0" borderId="18" xfId="60" applyNumberFormat="1" applyFont="1" applyBorder="1" applyAlignment="1">
      <alignment/>
    </xf>
    <xf numFmtId="0" fontId="22" fillId="33" borderId="17" xfId="0" applyFont="1" applyFill="1" applyBorder="1" applyAlignment="1">
      <alignment horizontal="center"/>
    </xf>
    <xf numFmtId="0" fontId="23" fillId="33" borderId="16" xfId="0" applyFont="1" applyFill="1" applyBorder="1" applyAlignment="1">
      <alignment/>
    </xf>
    <xf numFmtId="174" fontId="22" fillId="33" borderId="21" xfId="60" applyNumberFormat="1" applyFont="1" applyFill="1" applyBorder="1" applyAlignment="1">
      <alignment/>
    </xf>
    <xf numFmtId="174" fontId="14" fillId="0" borderId="18" xfId="6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74" fontId="14" fillId="0" borderId="19" xfId="60" applyNumberFormat="1" applyFont="1" applyBorder="1" applyAlignment="1">
      <alignment/>
    </xf>
    <xf numFmtId="0" fontId="10" fillId="0" borderId="22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174" fontId="14" fillId="0" borderId="20" xfId="60" applyNumberFormat="1" applyFont="1" applyBorder="1" applyAlignment="1">
      <alignment/>
    </xf>
    <xf numFmtId="0" fontId="14" fillId="0" borderId="0" xfId="0" applyFont="1" applyAlignment="1">
      <alignment/>
    </xf>
    <xf numFmtId="0" fontId="5" fillId="33" borderId="54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174" fontId="0" fillId="0" borderId="19" xfId="60" applyNumberFormat="1" applyFont="1" applyFill="1" applyBorder="1" applyAlignment="1">
      <alignment/>
    </xf>
    <xf numFmtId="3" fontId="4" fillId="0" borderId="19" xfId="60" applyNumberFormat="1" applyFont="1" applyFill="1" applyBorder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104" fillId="0" borderId="10" xfId="0" applyFont="1" applyBorder="1" applyAlignment="1">
      <alignment/>
    </xf>
    <xf numFmtId="174" fontId="105" fillId="0" borderId="18" xfId="60" applyNumberFormat="1" applyFont="1" applyBorder="1" applyAlignment="1">
      <alignment/>
    </xf>
    <xf numFmtId="174" fontId="105" fillId="0" borderId="19" xfId="60" applyNumberFormat="1" applyFont="1" applyBorder="1" applyAlignment="1">
      <alignment/>
    </xf>
    <xf numFmtId="0" fontId="104" fillId="0" borderId="10" xfId="0" applyFont="1" applyFill="1" applyBorder="1" applyAlignment="1">
      <alignment/>
    </xf>
    <xf numFmtId="0" fontId="105" fillId="0" borderId="11" xfId="0" applyFont="1" applyBorder="1" applyAlignment="1">
      <alignment horizontal="center"/>
    </xf>
    <xf numFmtId="0" fontId="105" fillId="0" borderId="0" xfId="0" applyFont="1" applyAlignment="1">
      <alignment/>
    </xf>
    <xf numFmtId="0" fontId="105" fillId="0" borderId="14" xfId="0" applyFont="1" applyBorder="1" applyAlignment="1">
      <alignment horizontal="center"/>
    </xf>
    <xf numFmtId="10" fontId="0" fillId="0" borderId="0" xfId="67" applyNumberFormat="1" applyFont="1" applyAlignment="1">
      <alignment/>
    </xf>
    <xf numFmtId="10" fontId="0" fillId="0" borderId="28" xfId="67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10" fillId="0" borderId="22" xfId="0" applyFont="1" applyBorder="1" applyAlignment="1">
      <alignment/>
    </xf>
    <xf numFmtId="3" fontId="14" fillId="0" borderId="55" xfId="60" applyNumberFormat="1" applyFont="1" applyBorder="1" applyAlignment="1">
      <alignment/>
    </xf>
    <xf numFmtId="3" fontId="106" fillId="0" borderId="0" xfId="0" applyNumberFormat="1" applyFont="1" applyFill="1" applyBorder="1" applyAlignment="1">
      <alignment/>
    </xf>
    <xf numFmtId="182" fontId="106" fillId="0" borderId="0" xfId="0" applyNumberFormat="1" applyFont="1" applyFill="1" applyBorder="1" applyAlignment="1">
      <alignment/>
    </xf>
    <xf numFmtId="183" fontId="107" fillId="0" borderId="0" xfId="0" applyNumberFormat="1" applyFont="1" applyFill="1" applyBorder="1" applyAlignment="1">
      <alignment/>
    </xf>
    <xf numFmtId="3" fontId="108" fillId="0" borderId="0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3" fontId="109" fillId="0" borderId="0" xfId="0" applyNumberFormat="1" applyFont="1" applyFill="1" applyBorder="1" applyAlignment="1">
      <alignment horizontal="center" vertical="center" wrapText="1"/>
    </xf>
    <xf numFmtId="3" fontId="109" fillId="0" borderId="0" xfId="0" applyNumberFormat="1" applyFont="1" applyFill="1" applyBorder="1" applyAlignment="1">
      <alignment horizontal="center" vertical="center"/>
    </xf>
    <xf numFmtId="3" fontId="110" fillId="0" borderId="0" xfId="0" applyNumberFormat="1" applyFont="1" applyFill="1" applyBorder="1" applyAlignment="1">
      <alignment horizontal="center" vertical="center" wrapText="1"/>
    </xf>
    <xf numFmtId="14" fontId="110" fillId="0" borderId="0" xfId="0" applyNumberFormat="1" applyFont="1" applyFill="1" applyBorder="1" applyAlignment="1">
      <alignment horizontal="center" vertical="center" wrapText="1"/>
    </xf>
    <xf numFmtId="181" fontId="110" fillId="0" borderId="0" xfId="0" applyNumberFormat="1" applyFont="1" applyFill="1" applyBorder="1" applyAlignment="1">
      <alignment horizontal="center" vertical="center" wrapText="1"/>
    </xf>
    <xf numFmtId="181" fontId="108" fillId="0" borderId="0" xfId="0" applyNumberFormat="1" applyFont="1" applyFill="1" applyBorder="1" applyAlignment="1">
      <alignment horizontal="center" vertical="center" wrapText="1"/>
    </xf>
    <xf numFmtId="0" fontId="22" fillId="0" borderId="0" xfId="57" applyFont="1">
      <alignment/>
      <protection/>
    </xf>
    <xf numFmtId="188" fontId="22" fillId="0" borderId="0" xfId="57" applyNumberFormat="1" applyFont="1">
      <alignment/>
      <protection/>
    </xf>
    <xf numFmtId="0" fontId="22" fillId="0" borderId="0" xfId="57" applyFont="1" applyBorder="1">
      <alignment/>
      <protection/>
    </xf>
    <xf numFmtId="188" fontId="22" fillId="0" borderId="0" xfId="57" applyNumberFormat="1" applyFont="1" applyBorder="1">
      <alignment/>
      <protection/>
    </xf>
    <xf numFmtId="0" fontId="22" fillId="0" borderId="0" xfId="57" applyFont="1" applyFill="1" applyBorder="1">
      <alignment/>
      <protection/>
    </xf>
    <xf numFmtId="0" fontId="22" fillId="0" borderId="49" xfId="57" applyFont="1" applyFill="1" applyBorder="1">
      <alignment/>
      <protection/>
    </xf>
    <xf numFmtId="188" fontId="22" fillId="0" borderId="49" xfId="57" applyNumberFormat="1" applyFont="1" applyBorder="1">
      <alignment/>
      <protection/>
    </xf>
    <xf numFmtId="0" fontId="93" fillId="0" borderId="0" xfId="58">
      <alignment/>
      <protection/>
    </xf>
    <xf numFmtId="3" fontId="111" fillId="0" borderId="0" xfId="58" applyNumberFormat="1" applyFont="1" applyFill="1" applyBorder="1" applyAlignment="1">
      <alignment horizontal="center"/>
      <protection/>
    </xf>
    <xf numFmtId="3" fontId="112" fillId="36" borderId="0" xfId="58" applyNumberFormat="1" applyFont="1" applyFill="1" applyBorder="1" applyAlignment="1">
      <alignment horizontal="center"/>
      <protection/>
    </xf>
    <xf numFmtId="3" fontId="112" fillId="36" borderId="0" xfId="58" applyNumberFormat="1" applyFont="1" applyFill="1" applyBorder="1" applyAlignment="1">
      <alignment horizontal="center" vertical="center"/>
      <protection/>
    </xf>
    <xf numFmtId="3" fontId="113" fillId="36" borderId="0" xfId="58" applyNumberFormat="1" applyFont="1" applyFill="1" applyAlignment="1">
      <alignment horizontal="center" vertical="center"/>
      <protection/>
    </xf>
    <xf numFmtId="182" fontId="113" fillId="36" borderId="0" xfId="58" applyNumberFormat="1" applyFont="1" applyFill="1" applyAlignment="1">
      <alignment horizontal="center" vertical="center"/>
      <protection/>
    </xf>
    <xf numFmtId="183" fontId="114" fillId="36" borderId="0" xfId="58" applyNumberFormat="1" applyFont="1" applyFill="1">
      <alignment/>
      <protection/>
    </xf>
    <xf numFmtId="3" fontId="113" fillId="36" borderId="0" xfId="58" applyNumberFormat="1" applyFont="1" applyFill="1">
      <alignment/>
      <protection/>
    </xf>
    <xf numFmtId="3" fontId="115" fillId="36" borderId="0" xfId="58" applyNumberFormat="1" applyFont="1" applyFill="1" applyBorder="1" applyAlignment="1">
      <alignment horizontal="center"/>
      <protection/>
    </xf>
    <xf numFmtId="3" fontId="115" fillId="13" borderId="0" xfId="58" applyNumberFormat="1" applyFont="1" applyFill="1" applyBorder="1" applyAlignment="1">
      <alignment horizontal="center"/>
      <protection/>
    </xf>
    <xf numFmtId="3" fontId="114" fillId="13" borderId="0" xfId="58" applyNumberFormat="1" applyFont="1" applyFill="1" applyBorder="1">
      <alignment/>
      <protection/>
    </xf>
    <xf numFmtId="3" fontId="116" fillId="13" borderId="0" xfId="58" applyNumberFormat="1" applyFont="1" applyFill="1" applyBorder="1">
      <alignment/>
      <protection/>
    </xf>
    <xf numFmtId="3" fontId="116" fillId="0" borderId="0" xfId="58" applyNumberFormat="1" applyFont="1" applyBorder="1">
      <alignment/>
      <protection/>
    </xf>
    <xf numFmtId="3" fontId="111" fillId="4" borderId="0" xfId="58" applyNumberFormat="1" applyFont="1" applyFill="1" applyBorder="1" applyAlignment="1">
      <alignment horizontal="center" vertical="center" wrapText="1"/>
      <protection/>
    </xf>
    <xf numFmtId="0" fontId="117" fillId="4" borderId="0" xfId="58" applyFont="1" applyFill="1" applyBorder="1" applyAlignment="1">
      <alignment horizontal="center" vertical="center"/>
      <protection/>
    </xf>
    <xf numFmtId="3" fontId="111" fillId="4" borderId="0" xfId="58" applyNumberFormat="1" applyFont="1" applyFill="1" applyBorder="1" applyAlignment="1">
      <alignment wrapText="1"/>
      <protection/>
    </xf>
    <xf numFmtId="3" fontId="111" fillId="37" borderId="0" xfId="58" applyNumberFormat="1" applyFont="1" applyFill="1" applyBorder="1" applyAlignment="1">
      <alignment wrapText="1"/>
      <protection/>
    </xf>
    <xf numFmtId="3" fontId="111" fillId="4" borderId="10" xfId="58" applyNumberFormat="1" applyFont="1" applyFill="1" applyBorder="1" applyAlignment="1">
      <alignment horizontal="center" vertical="center" wrapText="1"/>
      <protection/>
    </xf>
    <xf numFmtId="3" fontId="111" fillId="0" borderId="10" xfId="58" applyNumberFormat="1" applyFont="1" applyBorder="1" applyAlignment="1">
      <alignment horizontal="center" vertical="center" wrapText="1"/>
      <protection/>
    </xf>
    <xf numFmtId="3" fontId="24" fillId="37" borderId="10" xfId="50" applyNumberFormat="1" applyFont="1" applyFill="1" applyBorder="1" applyAlignment="1" applyProtection="1">
      <alignment horizontal="center" vertical="center" wrapText="1"/>
      <protection/>
    </xf>
    <xf numFmtId="3" fontId="114" fillId="0" borderId="10" xfId="58" applyNumberFormat="1" applyFont="1" applyBorder="1" applyAlignment="1">
      <alignment horizontal="center" vertical="center" wrapText="1"/>
      <protection/>
    </xf>
    <xf numFmtId="3" fontId="114" fillId="0" borderId="10" xfId="58" applyNumberFormat="1" applyFont="1" applyBorder="1" applyAlignment="1">
      <alignment wrapText="1"/>
      <protection/>
    </xf>
    <xf numFmtId="3" fontId="118" fillId="0" borderId="0" xfId="58" applyNumberFormat="1" applyFont="1" applyBorder="1" applyAlignment="1">
      <alignment wrapText="1"/>
      <protection/>
    </xf>
    <xf numFmtId="3" fontId="117" fillId="37" borderId="10" xfId="58" applyNumberFormat="1" applyFont="1" applyFill="1" applyBorder="1" applyAlignment="1">
      <alignment horizontal="center" vertical="center" wrapText="1"/>
      <protection/>
    </xf>
    <xf numFmtId="3" fontId="117" fillId="0" borderId="10" xfId="58" applyNumberFormat="1" applyFont="1" applyBorder="1" applyAlignment="1">
      <alignment horizontal="center" vertical="center" wrapText="1"/>
      <protection/>
    </xf>
    <xf numFmtId="3" fontId="118" fillId="0" borderId="0" xfId="58" applyNumberFormat="1" applyFont="1" applyAlignment="1">
      <alignment wrapText="1"/>
      <protection/>
    </xf>
    <xf numFmtId="3" fontId="111" fillId="4" borderId="56" xfId="58" applyNumberFormat="1" applyFont="1" applyFill="1" applyBorder="1" applyAlignment="1">
      <alignment horizontal="center" vertical="center" wrapText="1"/>
      <protection/>
    </xf>
    <xf numFmtId="3" fontId="111" fillId="0" borderId="57" xfId="58" applyNumberFormat="1" applyFont="1" applyBorder="1" applyAlignment="1">
      <alignment horizontal="center" vertical="center" wrapText="1"/>
      <protection/>
    </xf>
    <xf numFmtId="3" fontId="24" fillId="37" borderId="58" xfId="50" applyNumberFormat="1" applyFont="1" applyFill="1" applyBorder="1" applyAlignment="1" applyProtection="1">
      <alignment horizontal="center" vertical="center" wrapText="1"/>
      <protection/>
    </xf>
    <xf numFmtId="3" fontId="24" fillId="14" borderId="58" xfId="50" applyNumberFormat="1" applyFont="1" applyFill="1" applyBorder="1" applyAlignment="1" applyProtection="1">
      <alignment horizontal="center" vertical="center" wrapText="1"/>
      <protection/>
    </xf>
    <xf numFmtId="3" fontId="114" fillId="37" borderId="58" xfId="58" applyNumberFormat="1" applyFont="1" applyFill="1" applyBorder="1" applyAlignment="1">
      <alignment horizontal="center" vertical="center" wrapText="1"/>
      <protection/>
    </xf>
    <xf numFmtId="3" fontId="24" fillId="37" borderId="58" xfId="58" applyNumberFormat="1" applyFont="1" applyFill="1" applyBorder="1" applyAlignment="1">
      <alignment horizontal="center" vertical="center" wrapText="1"/>
      <protection/>
    </xf>
    <xf numFmtId="3" fontId="24" fillId="37" borderId="58" xfId="58" applyNumberFormat="1" applyFont="1" applyFill="1" applyBorder="1" applyAlignment="1">
      <alignment horizontal="center" wrapText="1"/>
      <protection/>
    </xf>
    <xf numFmtId="3" fontId="114" fillId="14" borderId="58" xfId="58" applyNumberFormat="1" applyFont="1" applyFill="1" applyBorder="1" applyAlignment="1">
      <alignment horizontal="center" vertical="center" wrapText="1"/>
      <protection/>
    </xf>
    <xf numFmtId="3" fontId="24" fillId="37" borderId="15" xfId="50" applyNumberFormat="1" applyFont="1" applyFill="1" applyBorder="1" applyAlignment="1" applyProtection="1">
      <alignment horizontal="center" vertical="center" wrapText="1"/>
      <protection/>
    </xf>
    <xf numFmtId="3" fontId="114" fillId="0" borderId="59" xfId="58" applyNumberFormat="1" applyFont="1" applyBorder="1" applyAlignment="1">
      <alignment horizontal="center" vertical="center" wrapText="1"/>
      <protection/>
    </xf>
    <xf numFmtId="3" fontId="114" fillId="0" borderId="34" xfId="58" applyNumberFormat="1" applyFont="1" applyBorder="1" applyAlignment="1">
      <alignment wrapText="1"/>
      <protection/>
    </xf>
    <xf numFmtId="3" fontId="111" fillId="4" borderId="60" xfId="58" applyNumberFormat="1" applyFont="1" applyFill="1" applyBorder="1" applyAlignment="1">
      <alignment horizontal="center" vertical="center" wrapText="1"/>
      <protection/>
    </xf>
    <xf numFmtId="3" fontId="114" fillId="37" borderId="61" xfId="58" applyNumberFormat="1" applyFont="1" applyFill="1" applyBorder="1" applyAlignment="1">
      <alignment horizontal="center" vertical="center" wrapText="1"/>
      <protection/>
    </xf>
    <xf numFmtId="3" fontId="24" fillId="37" borderId="61" xfId="58" applyNumberFormat="1" applyFont="1" applyFill="1" applyBorder="1" applyAlignment="1">
      <alignment horizontal="center" vertical="center" wrapText="1"/>
      <protection/>
    </xf>
    <xf numFmtId="3" fontId="114" fillId="14" borderId="61" xfId="58" applyNumberFormat="1" applyFont="1" applyFill="1" applyBorder="1" applyAlignment="1">
      <alignment horizontal="center" vertical="center" wrapText="1"/>
      <protection/>
    </xf>
    <xf numFmtId="3" fontId="114" fillId="0" borderId="62" xfId="58" applyNumberFormat="1" applyFont="1" applyBorder="1" applyAlignment="1">
      <alignment horizontal="center" vertical="center" wrapText="1"/>
      <protection/>
    </xf>
    <xf numFmtId="3" fontId="114" fillId="0" borderId="63" xfId="58" applyNumberFormat="1" applyFont="1" applyBorder="1" applyAlignment="1">
      <alignment wrapText="1"/>
      <protection/>
    </xf>
    <xf numFmtId="3" fontId="111" fillId="4" borderId="60" xfId="58" applyNumberFormat="1" applyFont="1" applyFill="1" applyBorder="1" applyAlignment="1">
      <alignment horizontal="center" vertical="center"/>
      <protection/>
    </xf>
    <xf numFmtId="3" fontId="111" fillId="0" borderId="57" xfId="58" applyNumberFormat="1" applyFont="1" applyBorder="1" applyAlignment="1">
      <alignment horizontal="center" vertical="center"/>
      <protection/>
    </xf>
    <xf numFmtId="3" fontId="114" fillId="37" borderId="61" xfId="58" applyNumberFormat="1" applyFont="1" applyFill="1" applyBorder="1" applyAlignment="1">
      <alignment horizontal="center" vertical="center"/>
      <protection/>
    </xf>
    <xf numFmtId="3" fontId="114" fillId="14" borderId="61" xfId="58" applyNumberFormat="1" applyFont="1" applyFill="1" applyBorder="1" applyAlignment="1">
      <alignment horizontal="center" vertical="center"/>
      <protection/>
    </xf>
    <xf numFmtId="3" fontId="114" fillId="0" borderId="63" xfId="58" applyNumberFormat="1" applyFont="1" applyBorder="1">
      <alignment/>
      <protection/>
    </xf>
    <xf numFmtId="3" fontId="118" fillId="0" borderId="0" xfId="58" applyNumberFormat="1" applyFont="1">
      <alignment/>
      <protection/>
    </xf>
    <xf numFmtId="3" fontId="114" fillId="37" borderId="61" xfId="58" applyNumberFormat="1" applyFont="1" applyFill="1" applyBorder="1" applyAlignment="1">
      <alignment horizontal="center"/>
      <protection/>
    </xf>
    <xf numFmtId="3" fontId="111" fillId="0" borderId="41" xfId="58" applyNumberFormat="1" applyFont="1" applyBorder="1" applyAlignment="1">
      <alignment horizontal="center" vertical="center"/>
      <protection/>
    </xf>
    <xf numFmtId="3" fontId="24" fillId="37" borderId="64" xfId="50" applyNumberFormat="1" applyFont="1" applyFill="1" applyBorder="1" applyAlignment="1" applyProtection="1">
      <alignment horizontal="center" vertical="center" wrapText="1"/>
      <protection/>
    </xf>
    <xf numFmtId="3" fontId="24" fillId="14" borderId="64" xfId="50" applyNumberFormat="1" applyFont="1" applyFill="1" applyBorder="1" applyAlignment="1" applyProtection="1">
      <alignment horizontal="center" vertical="center" wrapText="1"/>
      <protection/>
    </xf>
    <xf numFmtId="3" fontId="114" fillId="37" borderId="65" xfId="58" applyNumberFormat="1" applyFont="1" applyFill="1" applyBorder="1" applyAlignment="1">
      <alignment horizontal="center" vertical="center"/>
      <protection/>
    </xf>
    <xf numFmtId="3" fontId="24" fillId="37" borderId="65" xfId="58" applyNumberFormat="1" applyFont="1" applyFill="1" applyBorder="1" applyAlignment="1">
      <alignment horizontal="center" vertical="center" wrapText="1"/>
      <protection/>
    </xf>
    <xf numFmtId="3" fontId="114" fillId="14" borderId="65" xfId="58" applyNumberFormat="1" applyFont="1" applyFill="1" applyBorder="1" applyAlignment="1">
      <alignment horizontal="center" vertical="center"/>
      <protection/>
    </xf>
    <xf numFmtId="3" fontId="24" fillId="37" borderId="66" xfId="50" applyNumberFormat="1" applyFont="1" applyFill="1" applyBorder="1" applyAlignment="1" applyProtection="1">
      <alignment horizontal="center" vertical="center" wrapText="1"/>
      <protection/>
    </xf>
    <xf numFmtId="3" fontId="24" fillId="0" borderId="0" xfId="50" applyNumberFormat="1" applyFont="1" applyFill="1" applyBorder="1" applyAlignment="1" applyProtection="1">
      <alignment horizontal="center" vertical="center" wrapText="1"/>
      <protection/>
    </xf>
    <xf numFmtId="3" fontId="114" fillId="0" borderId="0" xfId="58" applyNumberFormat="1" applyFont="1" applyBorder="1" applyAlignment="1">
      <alignment horizontal="center" vertical="center"/>
      <protection/>
    </xf>
    <xf numFmtId="3" fontId="114" fillId="0" borderId="0" xfId="58" applyNumberFormat="1" applyFont="1" applyFill="1" applyBorder="1" applyAlignment="1">
      <alignment horizontal="center" vertical="center"/>
      <protection/>
    </xf>
    <xf numFmtId="3" fontId="114" fillId="0" borderId="0" xfId="58" applyNumberFormat="1" applyFont="1" applyBorder="1">
      <alignment/>
      <protection/>
    </xf>
    <xf numFmtId="3" fontId="111" fillId="0" borderId="51" xfId="58" applyNumberFormat="1" applyFont="1" applyBorder="1" applyAlignment="1">
      <alignment horizontal="center"/>
      <protection/>
    </xf>
    <xf numFmtId="3" fontId="111" fillId="0" borderId="52" xfId="58" applyNumberFormat="1" applyFont="1" applyBorder="1" applyAlignment="1">
      <alignment horizontal="center"/>
      <protection/>
    </xf>
    <xf numFmtId="3" fontId="24" fillId="0" borderId="53" xfId="50" applyNumberFormat="1" applyFont="1" applyFill="1" applyBorder="1" applyAlignment="1" applyProtection="1">
      <alignment horizontal="center" vertical="center" wrapText="1"/>
      <protection/>
    </xf>
    <xf numFmtId="3" fontId="25" fillId="0" borderId="42" xfId="50" applyNumberFormat="1" applyFont="1" applyFill="1" applyBorder="1" applyAlignment="1" applyProtection="1">
      <alignment horizontal="center" vertical="center" wrapText="1"/>
      <protection/>
    </xf>
    <xf numFmtId="3" fontId="25" fillId="0" borderId="0" xfId="50" applyNumberFormat="1" applyFont="1" applyFill="1" applyBorder="1" applyAlignment="1" applyProtection="1">
      <alignment horizontal="center" vertical="center" wrapText="1"/>
      <protection/>
    </xf>
    <xf numFmtId="3" fontId="111" fillId="0" borderId="41" xfId="58" applyNumberFormat="1" applyFont="1" applyBorder="1" applyAlignment="1">
      <alignment horizontal="center" vertical="center" wrapText="1"/>
      <protection/>
    </xf>
    <xf numFmtId="3" fontId="111" fillId="0" borderId="0" xfId="58" applyNumberFormat="1" applyFont="1" applyBorder="1" applyAlignment="1">
      <alignment horizontal="center" vertical="center" wrapText="1"/>
      <protection/>
    </xf>
    <xf numFmtId="3" fontId="25" fillId="0" borderId="43" xfId="50" applyNumberFormat="1" applyFont="1" applyFill="1" applyBorder="1" applyAlignment="1" applyProtection="1">
      <alignment horizontal="center" vertical="center" wrapText="1"/>
      <protection/>
    </xf>
    <xf numFmtId="3" fontId="118" fillId="0" borderId="0" xfId="58" applyNumberFormat="1" applyFont="1" applyBorder="1">
      <alignment/>
      <protection/>
    </xf>
    <xf numFmtId="3" fontId="111" fillId="0" borderId="0" xfId="58" applyNumberFormat="1" applyFont="1" applyBorder="1" applyAlignment="1">
      <alignment horizontal="center" vertical="center"/>
      <protection/>
    </xf>
    <xf numFmtId="3" fontId="26" fillId="0" borderId="0" xfId="50" applyNumberFormat="1" applyFont="1" applyFill="1" applyBorder="1" applyAlignment="1" applyProtection="1">
      <alignment horizontal="center" vertical="center" wrapText="1"/>
      <protection/>
    </xf>
    <xf numFmtId="3" fontId="111" fillId="0" borderId="47" xfId="58" applyNumberFormat="1" applyFont="1" applyBorder="1" applyAlignment="1">
      <alignment horizontal="center" vertical="center"/>
      <protection/>
    </xf>
    <xf numFmtId="3" fontId="111" fillId="0" borderId="28" xfId="58" applyNumberFormat="1" applyFont="1" applyBorder="1" applyAlignment="1">
      <alignment horizontal="center" vertical="center"/>
      <protection/>
    </xf>
    <xf numFmtId="3" fontId="26" fillId="0" borderId="42" xfId="50" applyNumberFormat="1" applyFont="1" applyFill="1" applyBorder="1" applyAlignment="1" applyProtection="1">
      <alignment horizontal="center" vertical="center" wrapText="1"/>
      <protection/>
    </xf>
    <xf numFmtId="3" fontId="28" fillId="0" borderId="0" xfId="58" applyNumberFormat="1" applyFont="1" applyBorder="1">
      <alignment/>
      <protection/>
    </xf>
    <xf numFmtId="0" fontId="114" fillId="0" borderId="0" xfId="58" applyFont="1">
      <alignment/>
      <protection/>
    </xf>
    <xf numFmtId="3" fontId="117" fillId="0" borderId="0" xfId="58" applyNumberFormat="1" applyFont="1">
      <alignment/>
      <protection/>
    </xf>
    <xf numFmtId="3" fontId="28" fillId="0" borderId="0" xfId="58" applyNumberFormat="1" applyFont="1" applyFill="1">
      <alignment/>
      <protection/>
    </xf>
    <xf numFmtId="0" fontId="114" fillId="0" borderId="0" xfId="58" applyFont="1" applyAlignment="1">
      <alignment vertical="center"/>
      <protection/>
    </xf>
    <xf numFmtId="3" fontId="114" fillId="0" borderId="0" xfId="58" applyNumberFormat="1" applyFont="1">
      <alignment/>
      <protection/>
    </xf>
    <xf numFmtId="0" fontId="24" fillId="0" borderId="0" xfId="58" applyFont="1" applyAlignment="1">
      <alignment vertical="center"/>
      <protection/>
    </xf>
    <xf numFmtId="0" fontId="118" fillId="0" borderId="0" xfId="58" applyFont="1" applyAlignment="1">
      <alignment vertical="center"/>
      <protection/>
    </xf>
    <xf numFmtId="0" fontId="118" fillId="0" borderId="0" xfId="58" applyFont="1">
      <alignment/>
      <protection/>
    </xf>
    <xf numFmtId="3" fontId="27" fillId="36" borderId="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Border="1">
      <alignment/>
      <protection/>
    </xf>
    <xf numFmtId="0" fontId="24" fillId="0" borderId="0" xfId="58" applyFont="1">
      <alignment/>
      <protection/>
    </xf>
    <xf numFmtId="0" fontId="28" fillId="0" borderId="0" xfId="58" applyFont="1">
      <alignment/>
      <protection/>
    </xf>
    <xf numFmtId="0" fontId="118" fillId="0" borderId="0" xfId="58" applyFont="1" applyBorder="1" applyAlignment="1">
      <alignment horizontal="center" vertical="center" wrapText="1"/>
      <protection/>
    </xf>
    <xf numFmtId="3" fontId="114" fillId="37" borderId="0" xfId="58" applyNumberFormat="1" applyFont="1" applyFill="1" applyBorder="1" applyAlignment="1">
      <alignment horizontal="center" vertical="center" wrapText="1"/>
      <protection/>
    </xf>
    <xf numFmtId="3" fontId="117" fillId="37" borderId="0" xfId="58" applyNumberFormat="1" applyFont="1" applyFill="1" applyBorder="1" applyAlignment="1">
      <alignment horizontal="center" vertical="center" wrapText="1"/>
      <protection/>
    </xf>
    <xf numFmtId="3" fontId="111" fillId="37" borderId="0" xfId="58" applyNumberFormat="1" applyFont="1" applyFill="1" applyBorder="1" applyAlignment="1">
      <alignment horizontal="center" vertical="center" wrapText="1"/>
      <protection/>
    </xf>
    <xf numFmtId="3" fontId="119" fillId="37" borderId="10" xfId="58" applyNumberFormat="1" applyFont="1" applyFill="1" applyBorder="1" applyAlignment="1">
      <alignment horizontal="center" vertical="center" wrapText="1"/>
      <protection/>
    </xf>
    <xf numFmtId="3" fontId="120" fillId="37" borderId="10" xfId="58" applyNumberFormat="1" applyFont="1" applyFill="1" applyBorder="1" applyAlignment="1">
      <alignment horizontal="center" vertical="center" wrapText="1"/>
      <protection/>
    </xf>
    <xf numFmtId="3" fontId="25" fillId="37" borderId="10" xfId="50" applyNumberFormat="1" applyFont="1" applyFill="1" applyBorder="1" applyAlignment="1" applyProtection="1">
      <alignment horizontal="center" vertical="center" wrapText="1"/>
      <protection/>
    </xf>
    <xf numFmtId="3" fontId="111" fillId="37" borderId="10" xfId="58" applyNumberFormat="1" applyFont="1" applyFill="1" applyBorder="1" applyAlignment="1">
      <alignment horizontal="center" vertical="center" wrapText="1"/>
      <protection/>
    </xf>
    <xf numFmtId="3" fontId="24" fillId="37" borderId="67" xfId="50" applyNumberFormat="1" applyFont="1" applyFill="1" applyBorder="1" applyAlignment="1" applyProtection="1">
      <alignment horizontal="center" vertical="center" wrapText="1"/>
      <protection/>
    </xf>
    <xf numFmtId="3" fontId="24" fillId="37" borderId="68" xfId="50" applyNumberFormat="1" applyFont="1" applyFill="1" applyBorder="1" applyAlignment="1" applyProtection="1">
      <alignment horizontal="center" vertical="center" wrapText="1"/>
      <protection/>
    </xf>
    <xf numFmtId="0" fontId="24" fillId="37" borderId="10" xfId="50" applyNumberFormat="1" applyFont="1" applyFill="1" applyBorder="1" applyAlignment="1" applyProtection="1">
      <alignment horizontal="center" vertical="center" wrapText="1"/>
      <protection/>
    </xf>
    <xf numFmtId="0" fontId="114" fillId="37" borderId="10" xfId="58" applyNumberFormat="1" applyFont="1" applyFill="1" applyBorder="1" applyAlignment="1">
      <alignment horizontal="center" vertical="center" wrapText="1"/>
      <protection/>
    </xf>
    <xf numFmtId="0" fontId="114" fillId="23" borderId="10" xfId="58" applyNumberFormat="1" applyFont="1" applyFill="1" applyBorder="1" applyAlignment="1">
      <alignment horizontal="center" vertical="center" wrapText="1"/>
      <protection/>
    </xf>
    <xf numFmtId="0" fontId="114" fillId="14" borderId="10" xfId="58" applyNumberFormat="1" applyFont="1" applyFill="1" applyBorder="1" applyAlignment="1">
      <alignment horizontal="center" vertical="center" wrapText="1"/>
      <protection/>
    </xf>
    <xf numFmtId="0" fontId="24" fillId="37" borderId="10" xfId="58" applyNumberFormat="1" applyFont="1" applyFill="1" applyBorder="1" applyAlignment="1">
      <alignment horizontal="center" vertical="center" wrapText="1"/>
      <protection/>
    </xf>
    <xf numFmtId="0" fontId="25" fillId="14" borderId="10" xfId="50" applyNumberFormat="1" applyFont="1" applyFill="1" applyBorder="1" applyAlignment="1" applyProtection="1">
      <alignment horizontal="center" vertical="center" wrapText="1"/>
      <protection/>
    </xf>
    <xf numFmtId="0" fontId="117" fillId="37" borderId="10" xfId="58" applyNumberFormat="1" applyFont="1" applyFill="1" applyBorder="1" applyAlignment="1">
      <alignment horizontal="center" vertical="center" wrapText="1"/>
      <protection/>
    </xf>
    <xf numFmtId="0" fontId="25" fillId="37" borderId="10" xfId="58" applyNumberFormat="1" applyFont="1" applyFill="1" applyBorder="1" applyAlignment="1">
      <alignment horizontal="center" vertical="center" wrapText="1"/>
      <protection/>
    </xf>
    <xf numFmtId="0" fontId="25" fillId="14" borderId="10" xfId="58" applyNumberFormat="1" applyFont="1" applyFill="1" applyBorder="1" applyAlignment="1">
      <alignment horizontal="center" vertical="center" wrapText="1"/>
      <protection/>
    </xf>
    <xf numFmtId="0" fontId="117" fillId="14" borderId="10" xfId="58" applyNumberFormat="1" applyFont="1" applyFill="1" applyBorder="1" applyAlignment="1">
      <alignment horizontal="center" vertical="center" wrapText="1"/>
      <protection/>
    </xf>
    <xf numFmtId="0" fontId="117" fillId="0" borderId="10" xfId="58" applyNumberFormat="1" applyFont="1" applyBorder="1" applyAlignment="1">
      <alignment horizontal="center" vertical="center" wrapText="1"/>
      <protection/>
    </xf>
    <xf numFmtId="0" fontId="26" fillId="0" borderId="10" xfId="58" applyNumberFormat="1" applyFont="1" applyBorder="1" applyAlignment="1">
      <alignment horizontal="center" vertical="center" wrapText="1"/>
      <protection/>
    </xf>
    <xf numFmtId="0" fontId="26" fillId="23" borderId="10" xfId="58" applyNumberFormat="1" applyFont="1" applyFill="1" applyBorder="1" applyAlignment="1">
      <alignment horizontal="center" vertical="center" wrapText="1"/>
      <protection/>
    </xf>
    <xf numFmtId="0" fontId="25" fillId="23" borderId="10" xfId="58" applyNumberFormat="1" applyFont="1" applyFill="1" applyBorder="1" applyAlignment="1">
      <alignment horizontal="center" vertical="center" wrapText="1"/>
      <protection/>
    </xf>
    <xf numFmtId="0" fontId="25" fillId="37" borderId="10" xfId="50" applyNumberFormat="1" applyFont="1" applyFill="1" applyBorder="1" applyAlignment="1" applyProtection="1">
      <alignment horizontal="center" vertical="center" wrapText="1"/>
      <protection/>
    </xf>
    <xf numFmtId="49" fontId="24" fillId="14" borderId="10" xfId="50" applyNumberFormat="1" applyFont="1" applyFill="1" applyBorder="1" applyAlignment="1" applyProtection="1">
      <alignment horizontal="center" vertical="center" wrapText="1"/>
      <protection/>
    </xf>
    <xf numFmtId="0" fontId="111" fillId="0" borderId="10" xfId="58" applyNumberFormat="1" applyFont="1" applyBorder="1" applyAlignment="1">
      <alignment horizontal="center" vertical="center" wrapText="1"/>
      <protection/>
    </xf>
    <xf numFmtId="0" fontId="111" fillId="37" borderId="10" xfId="58" applyNumberFormat="1" applyFont="1" applyFill="1" applyBorder="1" applyAlignment="1">
      <alignment horizontal="center" vertical="center" wrapText="1"/>
      <protection/>
    </xf>
    <xf numFmtId="49" fontId="114" fillId="14" borderId="10" xfId="58" applyNumberFormat="1" applyFont="1" applyFill="1" applyBorder="1" applyAlignment="1">
      <alignment horizontal="center" vertical="center" wrapText="1"/>
      <protection/>
    </xf>
    <xf numFmtId="3" fontId="121" fillId="23" borderId="58" xfId="58" applyNumberFormat="1" applyFont="1" applyFill="1" applyBorder="1" applyAlignment="1">
      <alignment horizontal="center" vertical="center" wrapText="1"/>
      <protection/>
    </xf>
    <xf numFmtId="3" fontId="121" fillId="23" borderId="61" xfId="58" applyNumberFormat="1" applyFont="1" applyFill="1" applyBorder="1" applyAlignment="1">
      <alignment horizontal="center" vertical="center" wrapText="1"/>
      <protection/>
    </xf>
    <xf numFmtId="3" fontId="121" fillId="23" borderId="65" xfId="58" applyNumberFormat="1" applyFont="1" applyFill="1" applyBorder="1" applyAlignment="1">
      <alignment horizontal="center" vertical="center" wrapText="1"/>
      <protection/>
    </xf>
    <xf numFmtId="0" fontId="24" fillId="23" borderId="10" xfId="58" applyNumberFormat="1" applyFont="1" applyFill="1" applyBorder="1" applyAlignment="1">
      <alignment horizontal="center" vertical="center" wrapText="1"/>
      <protection/>
    </xf>
    <xf numFmtId="3" fontId="24" fillId="23" borderId="58" xfId="58" applyNumberFormat="1" applyFont="1" applyFill="1" applyBorder="1" applyAlignment="1">
      <alignment horizontal="center" vertical="center" wrapText="1"/>
      <protection/>
    </xf>
    <xf numFmtId="3" fontId="24" fillId="23" borderId="61" xfId="58" applyNumberFormat="1" applyFont="1" applyFill="1" applyBorder="1" applyAlignment="1">
      <alignment horizontal="center" vertical="center" wrapText="1"/>
      <protection/>
    </xf>
    <xf numFmtId="3" fontId="114" fillId="23" borderId="61" xfId="58" applyNumberFormat="1" applyFont="1" applyFill="1" applyBorder="1" applyAlignment="1">
      <alignment horizontal="center" vertical="center" wrapText="1"/>
      <protection/>
    </xf>
    <xf numFmtId="3" fontId="24" fillId="23" borderId="65" xfId="58" applyNumberFormat="1" applyFont="1" applyFill="1" applyBorder="1" applyAlignment="1">
      <alignment horizontal="center" vertical="center" wrapText="1"/>
      <protection/>
    </xf>
    <xf numFmtId="3" fontId="24" fillId="14" borderId="57" xfId="58" applyNumberFormat="1" applyFont="1" applyFill="1" applyBorder="1" applyAlignment="1">
      <alignment horizontal="center" vertical="center" wrapText="1"/>
      <protection/>
    </xf>
    <xf numFmtId="3" fontId="24" fillId="14" borderId="29" xfId="58" applyNumberFormat="1" applyFont="1" applyFill="1" applyBorder="1" applyAlignment="1">
      <alignment horizontal="center" vertical="center" wrapText="1"/>
      <protection/>
    </xf>
    <xf numFmtId="3" fontId="114" fillId="14" borderId="29" xfId="58" applyNumberFormat="1" applyFont="1" applyFill="1" applyBorder="1" applyAlignment="1">
      <alignment horizontal="center" vertical="center" wrapText="1"/>
      <protection/>
    </xf>
    <xf numFmtId="3" fontId="24" fillId="14" borderId="69" xfId="58" applyNumberFormat="1" applyFont="1" applyFill="1" applyBorder="1" applyAlignment="1">
      <alignment horizontal="center" vertical="center" wrapText="1"/>
      <protection/>
    </xf>
    <xf numFmtId="0" fontId="29" fillId="37" borderId="10" xfId="50" applyNumberFormat="1" applyFont="1" applyFill="1" applyBorder="1" applyAlignment="1" applyProtection="1">
      <alignment horizontal="center" vertical="center" wrapText="1"/>
      <protection/>
    </xf>
    <xf numFmtId="3" fontId="118" fillId="0" borderId="10" xfId="58" applyNumberFormat="1" applyFont="1" applyBorder="1" applyAlignment="1">
      <alignment wrapText="1"/>
      <protection/>
    </xf>
    <xf numFmtId="3" fontId="118" fillId="0" borderId="10" xfId="58" applyNumberFormat="1" applyFont="1" applyBorder="1">
      <alignment/>
      <protection/>
    </xf>
    <xf numFmtId="3" fontId="122" fillId="0" borderId="0" xfId="58" applyNumberFormat="1" applyFont="1" applyBorder="1" applyAlignment="1">
      <alignment horizontal="center" vertical="center"/>
      <protection/>
    </xf>
    <xf numFmtId="3" fontId="123" fillId="4" borderId="69" xfId="58" applyNumberFormat="1" applyFont="1" applyFill="1" applyBorder="1" applyAlignment="1">
      <alignment horizontal="center" vertical="center" wrapText="1"/>
      <protection/>
    </xf>
    <xf numFmtId="3" fontId="123" fillId="37" borderId="10" xfId="58" applyNumberFormat="1" applyFont="1" applyFill="1" applyBorder="1" applyAlignment="1">
      <alignment horizontal="center" vertical="center" wrapText="1"/>
      <protection/>
    </xf>
    <xf numFmtId="3" fontId="123" fillId="0" borderId="70" xfId="58" applyNumberFormat="1" applyFont="1" applyBorder="1" applyAlignment="1">
      <alignment horizontal="center" vertical="center" wrapText="1"/>
      <protection/>
    </xf>
    <xf numFmtId="3" fontId="124" fillId="37" borderId="10" xfId="50" applyNumberFormat="1" applyFont="1" applyFill="1" applyBorder="1" applyAlignment="1" applyProtection="1">
      <alignment horizontal="center" vertical="center" wrapText="1"/>
      <protection/>
    </xf>
    <xf numFmtId="3" fontId="124" fillId="37" borderId="10" xfId="58" applyNumberFormat="1" applyFont="1" applyFill="1" applyBorder="1" applyAlignment="1">
      <alignment horizontal="center" vertical="center" wrapText="1"/>
      <protection/>
    </xf>
    <xf numFmtId="3" fontId="124" fillId="0" borderId="10" xfId="58" applyNumberFormat="1" applyFont="1" applyBorder="1" applyAlignment="1">
      <alignment horizontal="center" vertical="center" wrapText="1"/>
      <protection/>
    </xf>
    <xf numFmtId="3" fontId="123" fillId="37" borderId="10" xfId="63" applyNumberFormat="1" applyFont="1" applyFill="1" applyBorder="1" applyAlignment="1" applyProtection="1">
      <alignment horizontal="center" vertical="center" wrapText="1"/>
      <protection/>
    </xf>
    <xf numFmtId="3" fontId="124" fillId="23" borderId="10" xfId="58" applyNumberFormat="1" applyFont="1" applyFill="1" applyBorder="1" applyAlignment="1">
      <alignment horizontal="center" vertical="center" wrapText="1"/>
      <protection/>
    </xf>
    <xf numFmtId="3" fontId="124" fillId="0" borderId="62" xfId="58" applyNumberFormat="1" applyFont="1" applyBorder="1" applyAlignment="1">
      <alignment horizontal="center" vertical="center" wrapText="1"/>
      <protection/>
    </xf>
    <xf numFmtId="3" fontId="124" fillId="0" borderId="63" xfId="58" applyNumberFormat="1" applyFont="1" applyBorder="1">
      <alignment/>
      <protection/>
    </xf>
    <xf numFmtId="3" fontId="124" fillId="0" borderId="0" xfId="58" applyNumberFormat="1" applyFont="1">
      <alignment/>
      <protection/>
    </xf>
    <xf numFmtId="3" fontId="123" fillId="4" borderId="69" xfId="58" applyNumberFormat="1" applyFont="1" applyFill="1" applyBorder="1" applyAlignment="1">
      <alignment horizontal="center" vertical="center"/>
      <protection/>
    </xf>
    <xf numFmtId="3" fontId="123" fillId="0" borderId="70" xfId="58" applyNumberFormat="1" applyFont="1" applyBorder="1" applyAlignment="1">
      <alignment horizontal="center" vertical="center"/>
      <protection/>
    </xf>
    <xf numFmtId="3" fontId="124" fillId="37" borderId="66" xfId="58" applyNumberFormat="1" applyFont="1" applyFill="1" applyBorder="1" applyAlignment="1">
      <alignment horizontal="center" vertical="center"/>
      <protection/>
    </xf>
    <xf numFmtId="3" fontId="124" fillId="37" borderId="66" xfId="58" applyNumberFormat="1" applyFont="1" applyFill="1" applyBorder="1" applyAlignment="1">
      <alignment horizontal="center" vertical="center" wrapText="1"/>
      <protection/>
    </xf>
    <xf numFmtId="3" fontId="123" fillId="4" borderId="10" xfId="58" applyNumberFormat="1" applyFont="1" applyFill="1" applyBorder="1" applyAlignment="1">
      <alignment horizontal="center" vertical="center"/>
      <protection/>
    </xf>
    <xf numFmtId="3" fontId="123" fillId="0" borderId="10" xfId="58" applyNumberFormat="1" applyFont="1" applyBorder="1" applyAlignment="1">
      <alignment horizontal="center" vertical="center"/>
      <protection/>
    </xf>
    <xf numFmtId="3" fontId="123" fillId="37" borderId="66" xfId="50" applyNumberFormat="1" applyFont="1" applyFill="1" applyBorder="1" applyAlignment="1" applyProtection="1">
      <alignment horizontal="center" vertical="center" wrapText="1"/>
      <protection/>
    </xf>
    <xf numFmtId="3" fontId="124" fillId="0" borderId="71" xfId="58" applyNumberFormat="1" applyFont="1" applyBorder="1" applyAlignment="1">
      <alignment horizontal="center" vertical="center" wrapText="1"/>
      <protection/>
    </xf>
    <xf numFmtId="3" fontId="124" fillId="0" borderId="0" xfId="50" applyNumberFormat="1" applyFont="1" applyFill="1" applyBorder="1" applyAlignment="1" applyProtection="1">
      <alignment horizontal="center" vertical="center" wrapText="1"/>
      <protection/>
    </xf>
    <xf numFmtId="1" fontId="124" fillId="37" borderId="10" xfId="58" applyNumberFormat="1" applyFont="1" applyFill="1" applyBorder="1" applyAlignment="1">
      <alignment horizontal="center" vertical="center" wrapText="1"/>
      <protection/>
    </xf>
    <xf numFmtId="199" fontId="124" fillId="14" borderId="10" xfId="58" applyNumberFormat="1" applyFont="1" applyFill="1" applyBorder="1" applyAlignment="1">
      <alignment horizontal="center" vertical="center" wrapText="1"/>
      <protection/>
    </xf>
    <xf numFmtId="199" fontId="124" fillId="37" borderId="10" xfId="58" applyNumberFormat="1" applyFont="1" applyFill="1" applyBorder="1" applyAlignment="1">
      <alignment horizontal="center" vertical="center" wrapText="1"/>
      <protection/>
    </xf>
    <xf numFmtId="199" fontId="124" fillId="23" borderId="10" xfId="58" applyNumberFormat="1" applyFont="1" applyFill="1" applyBorder="1" applyAlignment="1">
      <alignment horizontal="center" vertical="center" wrapText="1"/>
      <protection/>
    </xf>
    <xf numFmtId="188" fontId="124" fillId="23" borderId="10" xfId="58" applyNumberFormat="1" applyFont="1" applyFill="1" applyBorder="1" applyAlignment="1">
      <alignment horizontal="center" vertical="center" wrapText="1"/>
      <protection/>
    </xf>
    <xf numFmtId="199" fontId="124" fillId="37" borderId="10" xfId="63" applyNumberFormat="1" applyFont="1" applyFill="1" applyBorder="1" applyAlignment="1" applyProtection="1">
      <alignment horizontal="center" vertical="center" wrapText="1"/>
      <protection/>
    </xf>
    <xf numFmtId="188" fontId="124" fillId="14" borderId="10" xfId="58" applyNumberFormat="1" applyFont="1" applyFill="1" applyBorder="1" applyAlignment="1">
      <alignment horizontal="center" vertical="center" wrapText="1"/>
      <protection/>
    </xf>
    <xf numFmtId="3" fontId="125" fillId="0" borderId="0" xfId="58" applyNumberFormat="1" applyFont="1" applyBorder="1" applyAlignment="1">
      <alignment horizontal="center" vertical="center"/>
      <protection/>
    </xf>
    <xf numFmtId="3" fontId="123" fillId="23" borderId="10" xfId="58" applyNumberFormat="1" applyFont="1" applyFill="1" applyBorder="1" applyAlignment="1">
      <alignment horizontal="center" vertical="center" wrapText="1"/>
      <protection/>
    </xf>
    <xf numFmtId="188" fontId="124" fillId="37" borderId="10" xfId="58" applyNumberFormat="1" applyFont="1" applyFill="1" applyBorder="1" applyAlignment="1">
      <alignment horizontal="center" vertical="center" wrapText="1"/>
      <protection/>
    </xf>
    <xf numFmtId="188" fontId="124" fillId="0" borderId="10" xfId="58" applyNumberFormat="1" applyFont="1" applyBorder="1" applyAlignment="1">
      <alignment horizontal="center" vertical="center" wrapText="1"/>
      <protection/>
    </xf>
    <xf numFmtId="188" fontId="124" fillId="37" borderId="66" xfId="58" applyNumberFormat="1" applyFont="1" applyFill="1" applyBorder="1" applyAlignment="1">
      <alignment horizontal="center" vertical="center" wrapText="1"/>
      <protection/>
    </xf>
    <xf numFmtId="188" fontId="124" fillId="0" borderId="0" xfId="50" applyNumberFormat="1" applyFont="1" applyFill="1" applyBorder="1" applyAlignment="1" applyProtection="1">
      <alignment horizontal="center" vertical="center" wrapText="1"/>
      <protection/>
    </xf>
    <xf numFmtId="188" fontId="124" fillId="0" borderId="10" xfId="50" applyNumberFormat="1" applyFont="1" applyFill="1" applyBorder="1" applyAlignment="1" applyProtection="1">
      <alignment horizontal="center" vertical="center" wrapText="1"/>
      <protection/>
    </xf>
    <xf numFmtId="188" fontId="124" fillId="0" borderId="0" xfId="58" applyNumberFormat="1" applyFont="1">
      <alignment/>
      <protection/>
    </xf>
    <xf numFmtId="174" fontId="5" fillId="33" borderId="72" xfId="60" applyNumberFormat="1" applyFont="1" applyFill="1" applyBorder="1" applyAlignment="1">
      <alignment horizontal="right"/>
    </xf>
    <xf numFmtId="180" fontId="0" fillId="0" borderId="0" xfId="67" applyNumberFormat="1" applyFont="1" applyFill="1" applyAlignment="1">
      <alignment/>
    </xf>
    <xf numFmtId="9" fontId="0" fillId="0" borderId="0" xfId="67" applyFont="1" applyFill="1" applyAlignment="1">
      <alignment/>
    </xf>
    <xf numFmtId="3" fontId="0" fillId="0" borderId="0" xfId="0" applyNumberForma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25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02" fillId="0" borderId="41" xfId="0" applyFont="1" applyBorder="1" applyAlignment="1">
      <alignment horizontal="center"/>
    </xf>
    <xf numFmtId="0" fontId="102" fillId="0" borderId="0" xfId="0" applyFont="1" applyAlignment="1">
      <alignment horizontal="center"/>
    </xf>
    <xf numFmtId="3" fontId="111" fillId="4" borderId="34" xfId="58" applyNumberFormat="1" applyFont="1" applyFill="1" applyBorder="1" applyAlignment="1">
      <alignment horizontal="center" vertical="center"/>
      <protection/>
    </xf>
    <xf numFmtId="0" fontId="118" fillId="0" borderId="34" xfId="58" applyFont="1" applyBorder="1" applyAlignment="1">
      <alignment horizontal="center" vertical="center"/>
      <protection/>
    </xf>
    <xf numFmtId="3" fontId="111" fillId="4" borderId="34" xfId="58" applyNumberFormat="1" applyFont="1" applyFill="1" applyBorder="1" applyAlignment="1">
      <alignment horizontal="center" vertical="center" wrapText="1"/>
      <protection/>
    </xf>
    <xf numFmtId="3" fontId="111" fillId="0" borderId="34" xfId="58" applyNumberFormat="1" applyFont="1" applyBorder="1" applyAlignment="1">
      <alignment horizontal="center" vertical="center" wrapText="1"/>
      <protection/>
    </xf>
    <xf numFmtId="3" fontId="111" fillId="4" borderId="0" xfId="58" applyNumberFormat="1" applyFont="1" applyFill="1" applyBorder="1" applyAlignment="1">
      <alignment horizontal="center" vertical="center"/>
      <protection/>
    </xf>
    <xf numFmtId="0" fontId="117" fillId="0" borderId="0" xfId="58" applyFont="1" applyBorder="1" applyAlignment="1">
      <alignment horizontal="center" vertical="center"/>
      <protection/>
    </xf>
    <xf numFmtId="3" fontId="111" fillId="0" borderId="0" xfId="58" applyNumberFormat="1" applyFont="1" applyBorder="1" applyAlignment="1">
      <alignment horizontal="center" vertical="center" wrapText="1"/>
      <protection/>
    </xf>
    <xf numFmtId="0" fontId="118" fillId="0" borderId="0" xfId="58" applyFont="1" applyBorder="1" applyAlignment="1">
      <alignment horizontal="center" vertical="center" wrapText="1"/>
      <protection/>
    </xf>
    <xf numFmtId="3" fontId="109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3" fontId="111" fillId="0" borderId="0" xfId="58" applyNumberFormat="1" applyFont="1" applyBorder="1" applyAlignment="1">
      <alignment wrapText="1"/>
      <protection/>
    </xf>
    <xf numFmtId="0" fontId="127" fillId="0" borderId="0" xfId="58" applyFont="1" applyBorder="1" applyAlignment="1">
      <alignment wrapText="1"/>
      <protection/>
    </xf>
    <xf numFmtId="0" fontId="5" fillId="34" borderId="74" xfId="0" applyFont="1" applyFill="1" applyBorder="1" applyAlignment="1">
      <alignment horizont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Összesen" xfId="59"/>
    <cellStyle name="Currency" xfId="60"/>
    <cellStyle name="Currency [0]" xfId="61"/>
    <cellStyle name="Pénznem 2" xfId="62"/>
    <cellStyle name="Pénznem 3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.421875" style="1" bestFit="1" customWidth="1"/>
    <col min="2" max="2" width="31.421875" style="0" bestFit="1" customWidth="1"/>
    <col min="3" max="3" width="14.421875" style="16" bestFit="1" customWidth="1"/>
    <col min="8" max="8" width="26.28125" style="0" bestFit="1" customWidth="1"/>
  </cols>
  <sheetData>
    <row r="1" spans="1:3" ht="13.5" thickBot="1">
      <c r="A1" s="9" t="s">
        <v>20</v>
      </c>
      <c r="B1" s="8" t="s">
        <v>14</v>
      </c>
      <c r="C1" s="17">
        <f>SUM(C2:C14)</f>
        <v>2606000</v>
      </c>
    </row>
    <row r="2" spans="1:3" ht="12">
      <c r="A2" s="6">
        <v>1</v>
      </c>
      <c r="B2" s="7" t="s">
        <v>18</v>
      </c>
      <c r="C2" s="13"/>
    </row>
    <row r="3" spans="1:3" ht="12">
      <c r="A3" s="3">
        <v>2</v>
      </c>
      <c r="B3" s="2" t="s">
        <v>15</v>
      </c>
      <c r="C3" s="13"/>
    </row>
    <row r="4" spans="1:3" ht="12">
      <c r="A4" s="3">
        <v>3</v>
      </c>
      <c r="B4" s="2" t="s">
        <v>16</v>
      </c>
      <c r="C4" s="13"/>
    </row>
    <row r="5" spans="1:3" ht="12">
      <c r="A5" s="3">
        <v>4</v>
      </c>
      <c r="B5" s="2" t="s">
        <v>24</v>
      </c>
      <c r="C5" s="13"/>
    </row>
    <row r="6" spans="1:3" ht="12">
      <c r="A6" s="3">
        <v>5</v>
      </c>
      <c r="B6" s="2" t="s">
        <v>17</v>
      </c>
      <c r="C6" s="13"/>
    </row>
    <row r="7" spans="1:3" s="58" customFormat="1" ht="12">
      <c r="A7" s="222">
        <v>6</v>
      </c>
      <c r="B7" s="223" t="s">
        <v>19</v>
      </c>
      <c r="C7" s="224">
        <v>0</v>
      </c>
    </row>
    <row r="8" spans="1:3" ht="12">
      <c r="A8" s="3">
        <v>7</v>
      </c>
      <c r="B8" s="2" t="s">
        <v>23</v>
      </c>
      <c r="C8" s="14">
        <v>0</v>
      </c>
    </row>
    <row r="9" spans="1:3" s="58" customFormat="1" ht="12">
      <c r="A9" s="222">
        <v>8</v>
      </c>
      <c r="B9" s="223" t="s">
        <v>21</v>
      </c>
      <c r="C9" s="224">
        <v>0</v>
      </c>
    </row>
    <row r="10" spans="1:3" ht="12">
      <c r="A10" s="3">
        <v>9</v>
      </c>
      <c r="B10" s="2" t="s">
        <v>26</v>
      </c>
      <c r="C10" s="14">
        <f>945000+1661000</f>
        <v>2606000</v>
      </c>
    </row>
    <row r="11" spans="1:3" ht="12">
      <c r="A11" s="3">
        <v>10</v>
      </c>
      <c r="B11" s="2"/>
      <c r="C11" s="14"/>
    </row>
    <row r="12" spans="1:3" ht="12">
      <c r="A12" s="3">
        <v>11</v>
      </c>
      <c r="B12" s="2"/>
      <c r="C12" s="14"/>
    </row>
    <row r="13" spans="1:3" ht="12">
      <c r="A13" s="3">
        <v>12</v>
      </c>
      <c r="B13" s="2"/>
      <c r="C13" s="14"/>
    </row>
    <row r="14" spans="1:3" ht="12.75" thickBot="1">
      <c r="A14" s="4">
        <v>13</v>
      </c>
      <c r="B14" s="5"/>
      <c r="C14" s="15"/>
    </row>
    <row r="16" spans="5:8" ht="25.5" thickBot="1">
      <c r="E16" s="435" t="s">
        <v>2</v>
      </c>
      <c r="F16" s="435"/>
      <c r="G16" s="435"/>
      <c r="H16" s="10">
        <f>C1+C17</f>
        <v>37542000</v>
      </c>
    </row>
    <row r="17" spans="1:8" ht="13.5" customHeight="1" thickBot="1">
      <c r="A17" s="9" t="s">
        <v>20</v>
      </c>
      <c r="B17" s="8" t="s">
        <v>22</v>
      </c>
      <c r="C17" s="17">
        <f>SUM(C18:C30)</f>
        <v>34936000</v>
      </c>
      <c r="E17" s="11"/>
      <c r="F17" s="11"/>
      <c r="G17" s="11"/>
      <c r="H17" s="12"/>
    </row>
    <row r="18" spans="1:3" ht="12">
      <c r="A18" s="6">
        <v>1</v>
      </c>
      <c r="B18" s="7" t="s">
        <v>18</v>
      </c>
      <c r="C18" s="13"/>
    </row>
    <row r="19" spans="1:3" ht="12">
      <c r="A19" s="3">
        <v>2</v>
      </c>
      <c r="B19" s="2" t="s">
        <v>15</v>
      </c>
      <c r="C19" s="14"/>
    </row>
    <row r="20" spans="1:3" ht="12">
      <c r="A20" s="3">
        <v>3</v>
      </c>
      <c r="B20" s="2" t="s">
        <v>16</v>
      </c>
      <c r="C20" s="14"/>
    </row>
    <row r="21" spans="1:3" ht="12">
      <c r="A21" s="3">
        <v>4</v>
      </c>
      <c r="B21" s="2" t="s">
        <v>24</v>
      </c>
      <c r="C21" s="14"/>
    </row>
    <row r="22" spans="1:3" ht="12">
      <c r="A22" s="3">
        <v>5</v>
      </c>
      <c r="B22" s="2" t="s">
        <v>17</v>
      </c>
      <c r="C22" s="14"/>
    </row>
    <row r="23" spans="1:3" ht="12">
      <c r="A23" s="3">
        <v>6</v>
      </c>
      <c r="B23" s="2" t="s">
        <v>19</v>
      </c>
      <c r="C23" s="14"/>
    </row>
    <row r="24" spans="1:3" ht="12">
      <c r="A24" s="3">
        <v>7</v>
      </c>
      <c r="B24" s="2" t="s">
        <v>23</v>
      </c>
      <c r="C24" s="14"/>
    </row>
    <row r="25" spans="1:3" ht="12">
      <c r="A25" s="3">
        <v>8</v>
      </c>
      <c r="B25" s="2" t="s">
        <v>21</v>
      </c>
      <c r="C25" s="14"/>
    </row>
    <row r="26" spans="1:3" ht="12">
      <c r="A26" s="3">
        <v>9</v>
      </c>
      <c r="B26" s="192" t="s">
        <v>175</v>
      </c>
      <c r="C26" s="14">
        <f>555000+584973000</f>
        <v>585528000</v>
      </c>
    </row>
    <row r="27" spans="1:3" ht="12">
      <c r="A27" s="3">
        <v>10</v>
      </c>
      <c r="B27" s="192" t="s">
        <v>176</v>
      </c>
      <c r="C27" s="14">
        <f>9353000+555000</f>
        <v>9908000</v>
      </c>
    </row>
    <row r="28" spans="1:3" ht="12">
      <c r="A28" s="3">
        <v>11</v>
      </c>
      <c r="B28" s="192" t="s">
        <v>247</v>
      </c>
      <c r="C28" s="14">
        <v>-550000000</v>
      </c>
    </row>
    <row r="29" spans="1:3" ht="12">
      <c r="A29" s="3">
        <v>12</v>
      </c>
      <c r="B29" s="2" t="s">
        <v>250</v>
      </c>
      <c r="C29" s="14">
        <f>-21000000/2</f>
        <v>-10500000</v>
      </c>
    </row>
    <row r="30" spans="1:3" ht="12.75" thickBot="1">
      <c r="A30" s="4">
        <v>13</v>
      </c>
      <c r="B30" s="5"/>
      <c r="C30" s="15"/>
    </row>
  </sheetData>
  <sheetProtection/>
  <protectedRanges>
    <protectedRange sqref="C18:C30" name="Tartom?ny2"/>
    <protectedRange sqref="C2 C7:C14" name="Tartom?ny1"/>
  </protectedRanges>
  <mergeCells count="1">
    <mergeCell ref="E16:G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46.8515625" style="0" customWidth="1"/>
    <col min="3" max="3" width="30.140625" style="46" customWidth="1"/>
  </cols>
  <sheetData>
    <row r="1" spans="1:3" ht="20.25" thickBot="1">
      <c r="A1" s="31" t="s">
        <v>20</v>
      </c>
      <c r="B1" s="32" t="s">
        <v>30</v>
      </c>
      <c r="C1" s="51">
        <f>SUM(C2:C17)</f>
        <v>4738000</v>
      </c>
    </row>
    <row r="2" spans="1:3" ht="20.25">
      <c r="A2" s="19">
        <v>1</v>
      </c>
      <c r="B2" s="20" t="s">
        <v>238</v>
      </c>
      <c r="C2" s="52">
        <v>430000</v>
      </c>
    </row>
    <row r="3" spans="1:3" ht="20.25">
      <c r="A3" s="22">
        <v>2</v>
      </c>
      <c r="B3" s="25" t="s">
        <v>31</v>
      </c>
      <c r="C3" s="53">
        <f>410000+480000</f>
        <v>890000</v>
      </c>
    </row>
    <row r="4" spans="1:3" ht="20.25">
      <c r="A4" s="22">
        <v>3</v>
      </c>
      <c r="B4" s="25" t="s">
        <v>32</v>
      </c>
      <c r="C4" s="53">
        <v>150000</v>
      </c>
    </row>
    <row r="5" spans="1:3" ht="20.25">
      <c r="A5" s="22">
        <v>4</v>
      </c>
      <c r="B5" s="25" t="s">
        <v>33</v>
      </c>
      <c r="C5" s="225">
        <f>14000*12</f>
        <v>168000</v>
      </c>
    </row>
    <row r="6" spans="1:3" ht="20.25">
      <c r="A6" s="22">
        <v>5</v>
      </c>
      <c r="B6" s="25" t="s">
        <v>34</v>
      </c>
      <c r="C6" s="53">
        <f>13000*12</f>
        <v>156000</v>
      </c>
    </row>
    <row r="7" spans="1:3" ht="20.25">
      <c r="A7" s="22">
        <v>6</v>
      </c>
      <c r="B7" s="25" t="s">
        <v>35</v>
      </c>
      <c r="C7" s="53">
        <f>12*110000</f>
        <v>1320000</v>
      </c>
    </row>
    <row r="8" spans="1:3" ht="20.25">
      <c r="A8" s="22">
        <v>7</v>
      </c>
      <c r="B8" s="25" t="s">
        <v>38</v>
      </c>
      <c r="C8" s="53">
        <v>600000</v>
      </c>
    </row>
    <row r="9" spans="1:3" ht="20.25">
      <c r="A9" s="22">
        <v>8</v>
      </c>
      <c r="B9" s="25" t="s">
        <v>85</v>
      </c>
      <c r="C9" s="53">
        <f>35000*12</f>
        <v>420000</v>
      </c>
    </row>
    <row r="10" spans="1:3" ht="20.25">
      <c r="A10" s="22">
        <v>9</v>
      </c>
      <c r="B10" s="25" t="s">
        <v>239</v>
      </c>
      <c r="C10" s="53">
        <f>17000*12</f>
        <v>204000</v>
      </c>
    </row>
    <row r="11" spans="1:3" ht="20.25">
      <c r="A11" s="22">
        <v>11</v>
      </c>
      <c r="B11" s="25" t="s">
        <v>37</v>
      </c>
      <c r="C11" s="53">
        <v>400000</v>
      </c>
    </row>
    <row r="12" spans="1:3" ht="20.25">
      <c r="A12" s="22">
        <v>12</v>
      </c>
      <c r="B12" s="25"/>
      <c r="C12" s="53"/>
    </row>
    <row r="13" spans="1:3" ht="19.5">
      <c r="A13" s="22">
        <v>13</v>
      </c>
      <c r="B13" s="27"/>
      <c r="C13" s="53"/>
    </row>
    <row r="14" spans="1:3" ht="19.5">
      <c r="A14" s="22">
        <v>14</v>
      </c>
      <c r="B14" s="27"/>
      <c r="C14" s="53"/>
    </row>
    <row r="15" spans="1:3" ht="19.5">
      <c r="A15" s="22">
        <v>15</v>
      </c>
      <c r="B15" s="27"/>
      <c r="C15" s="53"/>
    </row>
    <row r="16" spans="1:3" ht="19.5">
      <c r="A16" s="22">
        <v>16</v>
      </c>
      <c r="B16" s="27"/>
      <c r="C16" s="53"/>
    </row>
    <row r="17" spans="1:3" ht="20.25" thickBot="1">
      <c r="A17" s="22">
        <v>17</v>
      </c>
      <c r="B17" s="29"/>
      <c r="C17" s="54"/>
    </row>
  </sheetData>
  <sheetProtection/>
  <protectedRanges>
    <protectedRange sqref="C2:C8 C10:C17" name="Tartom?ny2"/>
    <protectedRange sqref="C9" name="Tartom?ny2_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421875" style="93" bestFit="1" customWidth="1"/>
    <col min="2" max="2" width="48.00390625" style="93" customWidth="1"/>
    <col min="3" max="3" width="22.57421875" style="107" customWidth="1"/>
    <col min="4" max="4" width="19.421875" style="93" bestFit="1" customWidth="1"/>
    <col min="5" max="5" width="14.421875" style="93" bestFit="1" customWidth="1"/>
    <col min="6" max="6" width="9.140625" style="93" customWidth="1"/>
    <col min="7" max="7" width="18.8515625" style="93" bestFit="1" customWidth="1"/>
    <col min="8" max="8" width="9.28125" style="93" bestFit="1" customWidth="1"/>
    <col min="9" max="9" width="12.421875" style="93" customWidth="1"/>
    <col min="10" max="10" width="11.421875" style="93" bestFit="1" customWidth="1"/>
    <col min="11" max="12" width="10.8515625" style="93" customWidth="1"/>
    <col min="13" max="16384" width="9.140625" style="93" customWidth="1"/>
  </cols>
  <sheetData>
    <row r="1" spans="1:3" ht="18" thickBot="1">
      <c r="A1" s="94" t="s">
        <v>20</v>
      </c>
      <c r="B1" s="95" t="s">
        <v>74</v>
      </c>
      <c r="C1" s="96">
        <f>SUM(C2:C19)</f>
        <v>11290500</v>
      </c>
    </row>
    <row r="2" spans="1:5" ht="18">
      <c r="A2" s="97">
        <v>1</v>
      </c>
      <c r="B2" s="98" t="s">
        <v>223</v>
      </c>
      <c r="C2" s="99">
        <f>'Saját forrás'!C7*0.8</f>
        <v>1040000</v>
      </c>
      <c r="D2" s="100"/>
      <c r="E2" s="101"/>
    </row>
    <row r="3" spans="1:5" ht="18">
      <c r="A3" s="102">
        <v>2</v>
      </c>
      <c r="B3" s="123" t="s">
        <v>255</v>
      </c>
      <c r="C3" s="99">
        <f>12*3500</f>
        <v>42000</v>
      </c>
      <c r="D3" s="74"/>
      <c r="E3" s="101"/>
    </row>
    <row r="4" spans="1:13" ht="26.25">
      <c r="A4" s="102">
        <v>3</v>
      </c>
      <c r="B4" s="123" t="s">
        <v>89</v>
      </c>
      <c r="C4" s="99">
        <v>0</v>
      </c>
      <c r="D4" s="74" t="s">
        <v>118</v>
      </c>
      <c r="E4" s="101"/>
      <c r="G4" s="74"/>
      <c r="H4" s="146" t="s">
        <v>133</v>
      </c>
      <c r="I4" s="74" t="s">
        <v>134</v>
      </c>
      <c r="J4" s="74"/>
      <c r="K4" s="151" t="s">
        <v>138</v>
      </c>
      <c r="L4" s="151" t="s">
        <v>237</v>
      </c>
      <c r="M4" s="128" t="s">
        <v>111</v>
      </c>
    </row>
    <row r="5" spans="1:13" ht="18">
      <c r="A5" s="102">
        <v>4</v>
      </c>
      <c r="B5" s="123" t="s">
        <v>92</v>
      </c>
      <c r="C5" s="99">
        <f>12*10000</f>
        <v>120000</v>
      </c>
      <c r="D5" s="100"/>
      <c r="E5" s="101"/>
      <c r="G5" s="74" t="s">
        <v>132</v>
      </c>
      <c r="H5" s="148">
        <v>30</v>
      </c>
      <c r="I5" s="128">
        <v>3000</v>
      </c>
      <c r="J5" s="128">
        <f>H5*I5</f>
        <v>90000</v>
      </c>
      <c r="K5" s="128">
        <f>J5*0.63</f>
        <v>56700</v>
      </c>
      <c r="L5" s="128"/>
      <c r="M5" s="200">
        <f>J5-K5</f>
        <v>33300</v>
      </c>
    </row>
    <row r="6" spans="1:13" ht="18">
      <c r="A6" s="102">
        <v>6</v>
      </c>
      <c r="B6" s="123" t="s">
        <v>82</v>
      </c>
      <c r="C6" s="99">
        <f>('Egyéb támogatás'!C3)*0.2</f>
        <v>100000</v>
      </c>
      <c r="D6" s="112"/>
      <c r="E6" s="112"/>
      <c r="G6" s="147" t="s">
        <v>179</v>
      </c>
      <c r="H6" s="149">
        <v>30</v>
      </c>
      <c r="I6" s="150">
        <v>3000</v>
      </c>
      <c r="J6" s="150">
        <f>H6*I6/2</f>
        <v>45000</v>
      </c>
      <c r="K6" s="150">
        <f>J6*0.63</f>
        <v>28350</v>
      </c>
      <c r="L6" s="150"/>
      <c r="M6" s="150">
        <f>J6-K6</f>
        <v>16650</v>
      </c>
    </row>
    <row r="7" spans="1:13" ht="18">
      <c r="A7" s="102">
        <v>7</v>
      </c>
      <c r="B7" s="123" t="s">
        <v>28</v>
      </c>
      <c r="C7" s="99">
        <f>('Saját forrás'!C23+'Saját forrás'!C24)*0.7</f>
        <v>1788500</v>
      </c>
      <c r="D7" s="112" t="s">
        <v>86</v>
      </c>
      <c r="E7" s="112"/>
      <c r="G7" s="198"/>
      <c r="H7" s="199"/>
      <c r="I7" s="200"/>
      <c r="J7" s="200"/>
      <c r="L7" s="200"/>
      <c r="M7" s="128"/>
    </row>
    <row r="8" spans="1:13" ht="18">
      <c r="A8" s="102">
        <v>8</v>
      </c>
      <c r="B8" s="123" t="s">
        <v>54</v>
      </c>
      <c r="C8" s="99">
        <v>50000</v>
      </c>
      <c r="D8" s="112" t="s">
        <v>103</v>
      </c>
      <c r="E8" s="112"/>
      <c r="G8" s="74"/>
      <c r="H8" s="128"/>
      <c r="I8" s="128"/>
      <c r="J8" s="200">
        <f>SUM(J5:J7)</f>
        <v>135000</v>
      </c>
      <c r="K8" s="200">
        <f>SUM(K5:K7)</f>
        <v>85050</v>
      </c>
      <c r="L8" s="200">
        <f>SUM(L5:L7)</f>
        <v>0</v>
      </c>
      <c r="M8" s="128">
        <f>J8-K8-L8</f>
        <v>49950</v>
      </c>
    </row>
    <row r="9" spans="1:12" ht="18">
      <c r="A9" s="102">
        <v>9</v>
      </c>
      <c r="B9" s="123" t="s">
        <v>65</v>
      </c>
      <c r="C9" s="99">
        <v>500000</v>
      </c>
      <c r="D9" s="112"/>
      <c r="E9" s="112"/>
      <c r="G9" s="74"/>
      <c r="H9" s="128"/>
      <c r="I9" s="128"/>
      <c r="J9" s="128"/>
      <c r="K9" s="128"/>
      <c r="L9" s="128"/>
    </row>
    <row r="10" spans="1:12" ht="18">
      <c r="A10" s="102">
        <v>10</v>
      </c>
      <c r="B10" s="123" t="s">
        <v>62</v>
      </c>
      <c r="C10" s="99">
        <v>0</v>
      </c>
      <c r="D10" s="74"/>
      <c r="G10" s="74" t="s">
        <v>135</v>
      </c>
      <c r="H10" s="128"/>
      <c r="I10" s="128"/>
      <c r="J10" s="128">
        <f>J8*12</f>
        <v>1620000</v>
      </c>
      <c r="K10" s="128"/>
      <c r="L10" s="128"/>
    </row>
    <row r="11" spans="1:10" ht="18">
      <c r="A11" s="102">
        <v>11</v>
      </c>
      <c r="B11" s="123" t="s">
        <v>63</v>
      </c>
      <c r="C11" s="99">
        <v>450000</v>
      </c>
      <c r="D11" s="74"/>
      <c r="G11" s="74" t="s">
        <v>136</v>
      </c>
      <c r="J11" s="128">
        <f>(K8+L8)*12</f>
        <v>1020600</v>
      </c>
    </row>
    <row r="12" spans="1:10" ht="18">
      <c r="A12" s="102">
        <v>12</v>
      </c>
      <c r="B12" s="123" t="s">
        <v>64</v>
      </c>
      <c r="C12" s="99">
        <v>300000</v>
      </c>
      <c r="G12" s="74" t="s">
        <v>137</v>
      </c>
      <c r="J12" s="128">
        <f>J10-J11</f>
        <v>599400</v>
      </c>
    </row>
    <row r="13" spans="1:10" ht="18">
      <c r="A13" s="102">
        <v>13</v>
      </c>
      <c r="B13" s="123"/>
      <c r="C13" s="99"/>
      <c r="G13" s="142" t="s">
        <v>180</v>
      </c>
      <c r="H13" s="196"/>
      <c r="I13" s="196"/>
      <c r="J13" s="197">
        <f>M5+M6</f>
        <v>49950</v>
      </c>
    </row>
    <row r="14" spans="1:10" ht="18">
      <c r="A14" s="102">
        <v>17</v>
      </c>
      <c r="B14" s="123" t="s">
        <v>125</v>
      </c>
      <c r="C14" s="99">
        <f>5*300000</f>
        <v>1500000</v>
      </c>
      <c r="D14" s="74"/>
      <c r="G14" s="142"/>
      <c r="J14" s="197"/>
    </row>
    <row r="15" spans="1:7" ht="18">
      <c r="A15" s="102">
        <v>18</v>
      </c>
      <c r="B15" s="123" t="s">
        <v>116</v>
      </c>
      <c r="C15" s="99">
        <v>300000</v>
      </c>
      <c r="D15" s="74"/>
      <c r="E15" s="74"/>
      <c r="G15" s="74"/>
    </row>
    <row r="16" spans="1:5" ht="18">
      <c r="A16" s="102">
        <v>16</v>
      </c>
      <c r="B16" s="123" t="s">
        <v>95</v>
      </c>
      <c r="C16" s="99">
        <f>'Saját forrás'!C5</f>
        <v>1920000</v>
      </c>
      <c r="D16" s="74"/>
      <c r="E16" s="74"/>
    </row>
    <row r="17" spans="1:5" ht="18">
      <c r="A17" s="102">
        <v>17</v>
      </c>
      <c r="B17" s="123" t="s">
        <v>256</v>
      </c>
      <c r="C17" s="99">
        <f>J10</f>
        <v>1620000</v>
      </c>
      <c r="D17" s="74"/>
      <c r="E17" s="74"/>
    </row>
    <row r="18" spans="1:3" ht="18">
      <c r="A18" s="102">
        <v>18</v>
      </c>
      <c r="B18" s="124" t="s">
        <v>257</v>
      </c>
      <c r="C18" s="103">
        <f>130000*12</f>
        <v>1560000</v>
      </c>
    </row>
    <row r="19" spans="1:7" ht="18" thickBot="1">
      <c r="A19" s="104">
        <v>19</v>
      </c>
      <c r="B19" s="105"/>
      <c r="C19" s="106"/>
      <c r="D19" s="124"/>
      <c r="G19" s="111"/>
    </row>
  </sheetData>
  <sheetProtection/>
  <protectedRanges>
    <protectedRange sqref="C18:C19" name="Tartom?ny2"/>
    <protectedRange sqref="C2" name="Tartom?ny2_2"/>
    <protectedRange sqref="C3:C4" name="Tartom?ny2_1_1"/>
    <protectedRange sqref="C10:C13" name="Tartom?ny2_2_1"/>
    <protectedRange sqref="C17" name="Tartom?ny2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4"/>
  <sheetViews>
    <sheetView zoomScalePageLayoutView="0" workbookViewId="0" topLeftCell="B1">
      <selection activeCell="G11" sqref="G11"/>
    </sheetView>
  </sheetViews>
  <sheetFormatPr defaultColWidth="9.140625" defaultRowHeight="12.75" outlineLevelRow="1"/>
  <cols>
    <col min="2" max="2" width="53.57421875" style="0" customWidth="1"/>
    <col min="3" max="3" width="23.8515625" style="0" customWidth="1"/>
    <col min="4" max="5" width="10.28125" style="0" customWidth="1"/>
    <col min="6" max="6" width="12.57421875" style="0" bestFit="1" customWidth="1"/>
    <col min="8" max="8" width="10.7109375" style="0" customWidth="1"/>
    <col min="9" max="9" width="8.8515625" style="0" bestFit="1" customWidth="1"/>
    <col min="10" max="10" width="8.8515625" style="0" customWidth="1"/>
    <col min="12" max="12" width="10.8515625" style="0" customWidth="1"/>
    <col min="13" max="13" width="11.28125" style="0" customWidth="1"/>
    <col min="14" max="14" width="11.57421875" style="0" customWidth="1"/>
    <col min="15" max="15" width="13.7109375" style="0" bestFit="1" customWidth="1"/>
  </cols>
  <sheetData>
    <row r="1" spans="1:3" ht="20.25" thickBot="1">
      <c r="A1" s="31" t="s">
        <v>20</v>
      </c>
      <c r="B1" s="32" t="s">
        <v>126</v>
      </c>
      <c r="C1" s="33">
        <f>SUM(C2:C19)</f>
        <v>13173000</v>
      </c>
    </row>
    <row r="2" spans="1:3" ht="20.25">
      <c r="A2" s="19">
        <v>1</v>
      </c>
      <c r="B2" s="20" t="s">
        <v>39</v>
      </c>
      <c r="C2" s="21">
        <v>8700000</v>
      </c>
    </row>
    <row r="3" spans="1:3" ht="20.25">
      <c r="A3" s="22">
        <v>2</v>
      </c>
      <c r="B3" s="23" t="s">
        <v>40</v>
      </c>
      <c r="C3" s="24">
        <v>1653000</v>
      </c>
    </row>
    <row r="4" spans="1:3" ht="20.25">
      <c r="A4" s="22">
        <v>3</v>
      </c>
      <c r="B4" s="23" t="s">
        <v>102</v>
      </c>
      <c r="C4" s="24">
        <v>2820000</v>
      </c>
    </row>
    <row r="5" spans="1:3" ht="19.5">
      <c r="A5" s="22">
        <v>5</v>
      </c>
      <c r="B5" s="27"/>
      <c r="C5" s="24"/>
    </row>
    <row r="6" spans="1:3" ht="19.5">
      <c r="A6" s="22">
        <v>6</v>
      </c>
      <c r="B6" s="27"/>
      <c r="C6" s="24"/>
    </row>
    <row r="7" spans="1:3" ht="19.5">
      <c r="A7" s="22">
        <v>7</v>
      </c>
      <c r="B7" s="27"/>
      <c r="C7" s="24"/>
    </row>
    <row r="8" spans="1:3" ht="19.5">
      <c r="A8" s="22">
        <v>8</v>
      </c>
      <c r="B8" s="27"/>
      <c r="C8" s="24"/>
    </row>
    <row r="9" spans="1:3" ht="19.5">
      <c r="A9" s="22">
        <v>9</v>
      </c>
      <c r="B9" s="27"/>
      <c r="C9" s="24"/>
    </row>
    <row r="10" spans="1:3" ht="19.5">
      <c r="A10" s="22">
        <v>10</v>
      </c>
      <c r="B10" s="27"/>
      <c r="C10" s="24"/>
    </row>
    <row r="11" spans="1:3" ht="19.5">
      <c r="A11" s="22">
        <v>11</v>
      </c>
      <c r="B11" s="27"/>
      <c r="C11" s="24"/>
    </row>
    <row r="12" spans="1:3" ht="19.5">
      <c r="A12" s="22">
        <v>12</v>
      </c>
      <c r="B12" s="27"/>
      <c r="C12" s="24"/>
    </row>
    <row r="13" spans="1:3" ht="19.5">
      <c r="A13" s="22">
        <v>13</v>
      </c>
      <c r="B13" s="27"/>
      <c r="C13" s="24"/>
    </row>
    <row r="14" spans="1:3" ht="19.5">
      <c r="A14" s="22">
        <v>14</v>
      </c>
      <c r="B14" s="27"/>
      <c r="C14" s="24"/>
    </row>
    <row r="15" spans="1:3" ht="19.5">
      <c r="A15" s="22">
        <v>15</v>
      </c>
      <c r="B15" s="27"/>
      <c r="C15" s="24"/>
    </row>
    <row r="16" spans="1:3" ht="19.5">
      <c r="A16" s="22">
        <v>16</v>
      </c>
      <c r="B16" s="27"/>
      <c r="C16" s="24"/>
    </row>
    <row r="17" spans="1:3" ht="19.5">
      <c r="A17" s="22">
        <v>17</v>
      </c>
      <c r="B17" s="27"/>
      <c r="C17" s="24"/>
    </row>
    <row r="18" spans="1:3" ht="19.5">
      <c r="A18" s="22">
        <v>18</v>
      </c>
      <c r="B18" s="27"/>
      <c r="C18" s="24"/>
    </row>
    <row r="19" spans="1:3" ht="20.25" thickBot="1">
      <c r="A19" s="28">
        <v>19</v>
      </c>
      <c r="B19" s="29"/>
      <c r="C19" s="30"/>
    </row>
    <row r="21" spans="2:14" ht="12" outlineLevel="1">
      <c r="B21" s="46"/>
      <c r="C21" s="46"/>
      <c r="D21" s="46"/>
      <c r="E21" s="46"/>
      <c r="F21" s="46"/>
      <c r="G21" s="46"/>
      <c r="H21" s="430"/>
      <c r="I21" s="431"/>
      <c r="J21" s="431"/>
      <c r="K21" s="193"/>
      <c r="L21" s="193"/>
      <c r="M21" s="193"/>
      <c r="N21" s="46"/>
    </row>
    <row r="22" spans="2:14" ht="12.75" outlineLevel="1">
      <c r="B22" s="130" t="s">
        <v>66</v>
      </c>
      <c r="C22" s="48"/>
      <c r="D22" s="127"/>
      <c r="E22" s="48"/>
      <c r="F22" s="48"/>
      <c r="G22" s="48"/>
      <c r="H22" s="432"/>
      <c r="I22" s="433"/>
      <c r="J22" s="433"/>
      <c r="K22" s="432"/>
      <c r="L22" s="432"/>
      <c r="M22" s="433"/>
      <c r="N22" s="48"/>
    </row>
    <row r="23" spans="2:14" ht="12" outlineLevel="1">
      <c r="B23" s="47"/>
      <c r="C23" s="46"/>
      <c r="D23" s="46"/>
      <c r="E23" s="46"/>
      <c r="F23" s="46"/>
      <c r="G23" s="46"/>
      <c r="H23" s="193"/>
      <c r="I23" s="193"/>
      <c r="J23" s="193"/>
      <c r="K23" s="193"/>
      <c r="L23" s="193"/>
      <c r="M23" s="193"/>
      <c r="N23" s="46"/>
    </row>
    <row r="24" spans="1:15" ht="12" outlineLevel="1">
      <c r="A24">
        <v>1</v>
      </c>
      <c r="B24" s="46" t="s">
        <v>67</v>
      </c>
      <c r="C24" s="47">
        <v>1</v>
      </c>
      <c r="D24" s="46"/>
      <c r="E24" s="128"/>
      <c r="F24" s="46"/>
      <c r="G24" s="46"/>
      <c r="H24" s="193"/>
      <c r="I24" s="193"/>
      <c r="J24" s="193"/>
      <c r="K24" s="193"/>
      <c r="L24" s="193"/>
      <c r="M24" s="193"/>
      <c r="N24" s="46"/>
      <c r="O24" s="228"/>
    </row>
    <row r="25" spans="1:15" ht="12" outlineLevel="1">
      <c r="A25">
        <v>2</v>
      </c>
      <c r="B25" s="193" t="s">
        <v>331</v>
      </c>
      <c r="C25" s="194">
        <v>1</v>
      </c>
      <c r="D25" s="193"/>
      <c r="E25" s="195"/>
      <c r="F25" s="46"/>
      <c r="G25" s="46"/>
      <c r="H25" s="193"/>
      <c r="I25" s="193"/>
      <c r="J25" s="193"/>
      <c r="K25" s="193"/>
      <c r="L25" s="193"/>
      <c r="M25" s="193"/>
      <c r="N25" s="46"/>
      <c r="O25" s="228"/>
    </row>
    <row r="26" spans="1:15" ht="12" customHeight="1" outlineLevel="1">
      <c r="A26">
        <v>2</v>
      </c>
      <c r="B26" s="128" t="s">
        <v>215</v>
      </c>
      <c r="C26" s="47">
        <v>0.5</v>
      </c>
      <c r="D26" s="46"/>
      <c r="E26" s="128"/>
      <c r="F26" s="46"/>
      <c r="G26" s="46"/>
      <c r="H26" s="193"/>
      <c r="I26" s="193"/>
      <c r="J26" s="193"/>
      <c r="K26" s="193"/>
      <c r="L26" s="193"/>
      <c r="M26" s="193"/>
      <c r="N26" s="46"/>
      <c r="O26" s="228"/>
    </row>
    <row r="27" spans="1:15" ht="12" outlineLevel="1">
      <c r="A27">
        <v>3</v>
      </c>
      <c r="B27" s="128" t="s">
        <v>127</v>
      </c>
      <c r="C27" s="47">
        <v>0.5</v>
      </c>
      <c r="D27" s="46"/>
      <c r="E27" s="128"/>
      <c r="F27" s="46"/>
      <c r="G27" s="46"/>
      <c r="H27" s="193"/>
      <c r="I27" s="193"/>
      <c r="J27" s="193"/>
      <c r="K27" s="193"/>
      <c r="L27" s="193"/>
      <c r="M27" s="193"/>
      <c r="N27" s="46"/>
      <c r="O27" s="228"/>
    </row>
    <row r="28" spans="1:15" ht="12" outlineLevel="1">
      <c r="A28">
        <v>4</v>
      </c>
      <c r="B28" s="195" t="s">
        <v>121</v>
      </c>
      <c r="C28" s="194">
        <v>1</v>
      </c>
      <c r="D28" s="193"/>
      <c r="E28" s="195"/>
      <c r="F28" s="46"/>
      <c r="G28" s="46"/>
      <c r="H28" s="193"/>
      <c r="I28" s="193"/>
      <c r="J28" s="193"/>
      <c r="K28" s="193"/>
      <c r="L28" s="193"/>
      <c r="M28" s="193"/>
      <c r="N28" s="46"/>
      <c r="O28" s="228"/>
    </row>
    <row r="29" spans="2:14" ht="12.75" outlineLevel="1" thickBot="1">
      <c r="B29" s="49" t="s">
        <v>68</v>
      </c>
      <c r="C29" s="49"/>
      <c r="D29" s="49"/>
      <c r="E29" s="49"/>
      <c r="F29" s="49"/>
      <c r="G29" s="49"/>
      <c r="H29" s="434"/>
      <c r="I29" s="434"/>
      <c r="J29" s="434"/>
      <c r="K29" s="434"/>
      <c r="L29" s="434"/>
      <c r="M29" s="434"/>
      <c r="N29" s="46"/>
    </row>
    <row r="30" spans="2:16" ht="12" outlineLevel="1">
      <c r="B30" s="46" t="s">
        <v>69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P30" s="46"/>
    </row>
    <row r="31" spans="2:14" ht="12" outlineLevel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ht="12" outlineLevel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12.75" outlineLevel="1">
      <c r="B33" s="131"/>
      <c r="C33" s="46"/>
      <c r="D33" s="48"/>
      <c r="E33" s="48"/>
      <c r="F33" s="127"/>
      <c r="G33" s="127"/>
      <c r="H33" s="48"/>
      <c r="I33" s="48"/>
      <c r="J33" s="48"/>
      <c r="K33" s="127"/>
      <c r="L33" s="48"/>
      <c r="M33" s="48"/>
      <c r="N33" s="46"/>
    </row>
    <row r="34" spans="2:14" ht="12" outlineLevel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2" outlineLevel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12" outlineLevel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12" outlineLevel="1">
      <c r="B37" s="128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12" outlineLevel="1">
      <c r="B38" s="12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12" outlineLevel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2" outlineLevel="1">
      <c r="B40" s="46"/>
      <c r="C40" s="46"/>
      <c r="D40" s="128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2" outlineLevel="1">
      <c r="B41" s="128"/>
      <c r="C41" s="46"/>
      <c r="D41" s="128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12" outlineLevel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2" outlineLevel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12" outlineLevel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2" outlineLevel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4" ht="12" outlineLevel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2:14" ht="12.75" outlineLevel="1" thickBot="1"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6"/>
    </row>
    <row r="48" spans="2:14" ht="12" outlineLevel="1">
      <c r="B48" s="50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2:14" ht="12" outlineLevel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4" spans="8:10" ht="12">
      <c r="H54">
        <v>570000000</v>
      </c>
      <c r="I54" s="47">
        <v>0.02</v>
      </c>
      <c r="J54">
        <f>H54*I54</f>
        <v>11400000</v>
      </c>
    </row>
  </sheetData>
  <sheetProtection/>
  <protectedRanges>
    <protectedRange sqref="C2:C3 C5:C19" name="Tartom?ny2"/>
  </protectedRange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41.00390625" style="0" bestFit="1" customWidth="1"/>
    <col min="3" max="3" width="19.00390625" style="46" customWidth="1"/>
  </cols>
  <sheetData>
    <row r="1" spans="1:3" ht="20.25" thickBot="1">
      <c r="A1" s="31" t="s">
        <v>20</v>
      </c>
      <c r="B1" s="59" t="s">
        <v>10</v>
      </c>
      <c r="C1" s="60">
        <f>SUM(C2:C18)</f>
        <v>2242070</v>
      </c>
    </row>
    <row r="2" spans="1:3" ht="20.25">
      <c r="A2" s="19">
        <v>1</v>
      </c>
      <c r="B2" s="20" t="s">
        <v>120</v>
      </c>
      <c r="C2" s="52">
        <f>897*310</f>
        <v>278070</v>
      </c>
    </row>
    <row r="3" spans="1:3" ht="20.25">
      <c r="A3" s="22">
        <v>2</v>
      </c>
      <c r="B3" s="23" t="s">
        <v>41</v>
      </c>
      <c r="C3" s="53">
        <f>100*310</f>
        <v>31000</v>
      </c>
    </row>
    <row r="4" spans="1:3" ht="25.5" customHeight="1">
      <c r="A4" s="22">
        <v>3</v>
      </c>
      <c r="B4" s="27" t="s">
        <v>94</v>
      </c>
      <c r="C4" s="53">
        <f>300*310</f>
        <v>93000</v>
      </c>
    </row>
    <row r="5" spans="1:3" ht="19.5">
      <c r="A5" s="22">
        <v>6</v>
      </c>
      <c r="B5" s="27" t="s">
        <v>42</v>
      </c>
      <c r="C5" s="53">
        <v>80000</v>
      </c>
    </row>
    <row r="6" spans="1:3" ht="19.5">
      <c r="A6" s="22">
        <v>7</v>
      </c>
      <c r="B6" s="27" t="s">
        <v>236</v>
      </c>
      <c r="C6" s="53">
        <f>'Saját forrás'!C4</f>
        <v>1760000</v>
      </c>
    </row>
    <row r="7" spans="1:3" ht="20.25">
      <c r="A7" s="22">
        <v>8</v>
      </c>
      <c r="B7" s="23"/>
      <c r="C7" s="53"/>
    </row>
    <row r="8" spans="1:3" ht="19.5">
      <c r="A8" s="22">
        <v>9</v>
      </c>
      <c r="B8" s="27"/>
      <c r="C8" s="53"/>
    </row>
    <row r="9" spans="1:3" ht="19.5">
      <c r="A9" s="22">
        <v>10</v>
      </c>
      <c r="B9" s="27"/>
      <c r="C9" s="53"/>
    </row>
    <row r="10" spans="1:3" ht="19.5">
      <c r="A10" s="22">
        <v>11</v>
      </c>
      <c r="B10" s="27"/>
      <c r="C10" s="53"/>
    </row>
    <row r="11" spans="1:3" ht="19.5">
      <c r="A11" s="22">
        <v>12</v>
      </c>
      <c r="B11" s="27"/>
      <c r="C11" s="53"/>
    </row>
    <row r="12" spans="1:3" ht="19.5">
      <c r="A12" s="22">
        <v>13</v>
      </c>
      <c r="B12" s="27"/>
      <c r="C12" s="53"/>
    </row>
    <row r="13" spans="1:3" ht="19.5">
      <c r="A13" s="22">
        <v>14</v>
      </c>
      <c r="B13" s="27"/>
      <c r="C13" s="53"/>
    </row>
    <row r="14" spans="1:3" ht="19.5">
      <c r="A14" s="22">
        <v>15</v>
      </c>
      <c r="B14" s="27"/>
      <c r="C14" s="53"/>
    </row>
    <row r="15" spans="1:3" ht="19.5">
      <c r="A15" s="22">
        <v>16</v>
      </c>
      <c r="B15" s="27"/>
      <c r="C15" s="53"/>
    </row>
    <row r="16" spans="1:3" ht="19.5">
      <c r="A16" s="22">
        <v>17</v>
      </c>
      <c r="B16" s="27"/>
      <c r="C16" s="53"/>
    </row>
    <row r="17" spans="1:3" ht="19.5">
      <c r="A17" s="22">
        <v>18</v>
      </c>
      <c r="B17" s="27"/>
      <c r="C17" s="53"/>
    </row>
    <row r="18" spans="1:3" ht="20.25" thickBot="1">
      <c r="A18" s="28">
        <v>19</v>
      </c>
      <c r="B18" s="29"/>
      <c r="C18" s="54"/>
    </row>
  </sheetData>
  <sheetProtection/>
  <protectedRanges>
    <protectedRange sqref="C2:C18" name="Tartom?ny2"/>
  </protectedRange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47.7109375" style="0" customWidth="1"/>
    <col min="3" max="3" width="20.7109375" style="46" customWidth="1"/>
    <col min="5" max="5" width="14.421875" style="0" customWidth="1"/>
  </cols>
  <sheetData>
    <row r="1" spans="1:3" ht="20.25" thickBot="1">
      <c r="A1" s="31" t="s">
        <v>20</v>
      </c>
      <c r="B1" s="32" t="s">
        <v>75</v>
      </c>
      <c r="C1" s="51">
        <f>SUM(C2:C14)</f>
        <v>3593000</v>
      </c>
    </row>
    <row r="2" spans="1:11" ht="20.25">
      <c r="A2" s="19">
        <v>1</v>
      </c>
      <c r="B2" s="239" t="s">
        <v>259</v>
      </c>
      <c r="C2" s="24">
        <f>(100000+5*15000)*12</f>
        <v>2100000</v>
      </c>
      <c r="D2" s="1"/>
      <c r="E2" s="1"/>
      <c r="F2" s="1"/>
      <c r="G2" s="1"/>
      <c r="H2" s="1"/>
      <c r="I2" s="1"/>
      <c r="J2" s="1"/>
      <c r="K2" s="1"/>
    </row>
    <row r="3" spans="1:11" ht="20.25">
      <c r="A3" s="19">
        <v>2</v>
      </c>
      <c r="B3" s="239" t="s">
        <v>260</v>
      </c>
      <c r="C3" s="24">
        <f>15000*3*12</f>
        <v>540000</v>
      </c>
      <c r="D3" s="1"/>
      <c r="E3" s="1"/>
      <c r="F3" s="1"/>
      <c r="G3" s="1"/>
      <c r="H3" s="1"/>
      <c r="I3" s="1"/>
      <c r="J3" s="1"/>
      <c r="K3" s="1"/>
    </row>
    <row r="4" spans="1:3" ht="20.25">
      <c r="A4" s="22">
        <v>3</v>
      </c>
      <c r="B4" s="25" t="s">
        <v>258</v>
      </c>
      <c r="C4" s="24">
        <f>7*79000</f>
        <v>553000</v>
      </c>
    </row>
    <row r="5" spans="1:5" ht="20.25">
      <c r="A5" s="19">
        <v>8</v>
      </c>
      <c r="B5" s="40" t="s">
        <v>77</v>
      </c>
      <c r="C5" s="24">
        <f>5*50000</f>
        <v>250000</v>
      </c>
      <c r="E5" s="92"/>
    </row>
    <row r="6" spans="1:3" ht="20.25">
      <c r="A6" s="22">
        <v>9</v>
      </c>
      <c r="B6" s="40" t="s">
        <v>214</v>
      </c>
      <c r="C6" s="24">
        <f>5*30000</f>
        <v>150000</v>
      </c>
    </row>
    <row r="7" spans="1:3" ht="20.25">
      <c r="A7" s="19">
        <v>10</v>
      </c>
      <c r="B7" s="40"/>
      <c r="C7" s="53"/>
    </row>
    <row r="8" spans="1:3" ht="20.25">
      <c r="A8" s="19">
        <v>11</v>
      </c>
      <c r="B8" s="40"/>
      <c r="C8" s="53"/>
    </row>
    <row r="9" spans="1:3" ht="20.25">
      <c r="A9" s="22">
        <v>12</v>
      </c>
      <c r="B9" s="25"/>
      <c r="C9" s="53"/>
    </row>
    <row r="10" spans="1:3" ht="20.25">
      <c r="A10" s="19">
        <v>13</v>
      </c>
      <c r="B10" s="40"/>
      <c r="C10" s="53"/>
    </row>
    <row r="11" spans="1:10" ht="20.25">
      <c r="A11" s="19">
        <v>14</v>
      </c>
      <c r="B11" s="40"/>
      <c r="C11" s="53"/>
      <c r="J11" s="20"/>
    </row>
    <row r="12" spans="1:3" ht="20.25">
      <c r="A12" s="22">
        <v>15</v>
      </c>
      <c r="B12" s="40"/>
      <c r="C12" s="53"/>
    </row>
    <row r="13" spans="1:3" ht="20.25">
      <c r="A13" s="19">
        <v>16</v>
      </c>
      <c r="B13" s="40"/>
      <c r="C13" s="53"/>
    </row>
    <row r="14" spans="1:3" ht="21" thickBot="1">
      <c r="A14" s="19">
        <v>17</v>
      </c>
      <c r="B14" s="42"/>
      <c r="C14" s="54"/>
    </row>
  </sheetData>
  <sheetProtection/>
  <protectedRanges>
    <protectedRange sqref="C8 C10:C14 C5:C6" name="Tartom?ny2"/>
    <protectedRange sqref="C9" name="Tartom?ny2_1"/>
    <protectedRange sqref="C2:C3" name="Tartom?ny2_2"/>
    <protectedRange sqref="C4" name="Tartom?ny2_3"/>
  </protectedRange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"/>
  <sheetViews>
    <sheetView zoomScale="90" zoomScaleNormal="90" zoomScalePageLayoutView="0" workbookViewId="0" topLeftCell="A1">
      <selection activeCell="I6" sqref="I6"/>
    </sheetView>
  </sheetViews>
  <sheetFormatPr defaultColWidth="9.140625" defaultRowHeight="12.75"/>
  <cols>
    <col min="2" max="2" width="40.00390625" style="0" customWidth="1"/>
    <col min="3" max="3" width="21.421875" style="46" customWidth="1"/>
  </cols>
  <sheetData>
    <row r="1" spans="1:3" ht="20.25" thickBot="1">
      <c r="A1" s="31" t="s">
        <v>20</v>
      </c>
      <c r="B1" s="32" t="s">
        <v>11</v>
      </c>
      <c r="C1" s="51">
        <f>SUM(C2:C20)</f>
        <v>2635000</v>
      </c>
    </row>
    <row r="2" spans="1:4" ht="20.25">
      <c r="A2" s="19">
        <v>1</v>
      </c>
      <c r="B2" s="38" t="s">
        <v>49</v>
      </c>
      <c r="C2" s="21">
        <v>500000</v>
      </c>
      <c r="D2" s="74"/>
    </row>
    <row r="3" spans="1:4" ht="20.25">
      <c r="A3" s="22">
        <v>2</v>
      </c>
      <c r="B3" s="39" t="s">
        <v>51</v>
      </c>
      <c r="C3" s="21">
        <v>250000</v>
      </c>
      <c r="D3" s="74"/>
    </row>
    <row r="4" spans="1:4" ht="20.25">
      <c r="A4" s="22">
        <v>3</v>
      </c>
      <c r="B4" s="39" t="s">
        <v>50</v>
      </c>
      <c r="C4" s="21">
        <f>'Edzőtábor bevétel'!C4+100000</f>
        <v>1885000</v>
      </c>
      <c r="D4" s="74" t="s">
        <v>231</v>
      </c>
    </row>
    <row r="5" spans="1:3" ht="20.25">
      <c r="A5" s="22">
        <v>4</v>
      </c>
      <c r="B5" s="25"/>
      <c r="C5" s="53"/>
    </row>
    <row r="6" spans="1:3" ht="20.25">
      <c r="A6" s="22">
        <v>5</v>
      </c>
      <c r="B6" s="25"/>
      <c r="C6" s="53"/>
    </row>
    <row r="7" spans="1:3" ht="20.25">
      <c r="A7" s="22">
        <v>6</v>
      </c>
      <c r="B7" s="25"/>
      <c r="C7" s="53"/>
    </row>
    <row r="8" spans="1:3" ht="20.25">
      <c r="A8" s="22">
        <v>7</v>
      </c>
      <c r="B8" s="25"/>
      <c r="C8" s="53"/>
    </row>
    <row r="9" spans="1:3" ht="20.25">
      <c r="A9" s="22">
        <v>8</v>
      </c>
      <c r="B9" s="26"/>
      <c r="C9" s="53"/>
    </row>
    <row r="10" spans="1:3" ht="19.5">
      <c r="A10" s="22">
        <v>9</v>
      </c>
      <c r="B10" s="27"/>
      <c r="C10" s="53"/>
    </row>
    <row r="11" spans="1:3" ht="19.5">
      <c r="A11" s="22">
        <v>10</v>
      </c>
      <c r="B11" s="27"/>
      <c r="C11" s="53"/>
    </row>
    <row r="12" spans="1:3" ht="19.5">
      <c r="A12" s="22">
        <v>11</v>
      </c>
      <c r="B12" s="27"/>
      <c r="C12" s="53"/>
    </row>
    <row r="13" spans="1:3" ht="19.5">
      <c r="A13" s="22">
        <v>12</v>
      </c>
      <c r="B13" s="27"/>
      <c r="C13" s="53"/>
    </row>
    <row r="14" spans="1:3" ht="19.5">
      <c r="A14" s="22">
        <v>13</v>
      </c>
      <c r="B14" s="27"/>
      <c r="C14" s="53"/>
    </row>
    <row r="15" spans="1:3" ht="19.5">
      <c r="A15" s="22">
        <v>14</v>
      </c>
      <c r="B15" s="27"/>
      <c r="C15" s="53"/>
    </row>
    <row r="16" spans="1:3" ht="19.5">
      <c r="A16" s="22">
        <v>15</v>
      </c>
      <c r="B16" s="27"/>
      <c r="C16" s="53"/>
    </row>
    <row r="17" spans="1:3" ht="19.5">
      <c r="A17" s="22">
        <v>16</v>
      </c>
      <c r="B17" s="27"/>
      <c r="C17" s="53"/>
    </row>
    <row r="18" spans="1:3" ht="19.5">
      <c r="A18" s="22">
        <v>17</v>
      </c>
      <c r="B18" s="27"/>
      <c r="C18" s="53"/>
    </row>
    <row r="19" spans="1:3" ht="19.5">
      <c r="A19" s="22">
        <v>18</v>
      </c>
      <c r="B19" s="27"/>
      <c r="C19" s="53"/>
    </row>
    <row r="20" spans="1:3" ht="20.25" thickBot="1">
      <c r="A20" s="28">
        <v>19</v>
      </c>
      <c r="B20" s="29"/>
      <c r="C20" s="54"/>
    </row>
  </sheetData>
  <sheetProtection/>
  <protectedRanges>
    <protectedRange sqref="C5:C20" name="Tartom?ny2"/>
    <protectedRange sqref="C2:C4" name="Tartom?ny2_1"/>
  </protectedRange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46.28125" style="0" bestFit="1" customWidth="1"/>
    <col min="3" max="3" width="21.421875" style="46" customWidth="1"/>
  </cols>
  <sheetData>
    <row r="1" spans="1:3" ht="20.25" thickBot="1">
      <c r="A1" s="31" t="s">
        <v>20</v>
      </c>
      <c r="B1" s="32" t="s">
        <v>7</v>
      </c>
      <c r="C1" s="51">
        <f>SUM(C2:C21)</f>
        <v>5488000</v>
      </c>
    </row>
    <row r="2" spans="1:4" ht="20.25">
      <c r="A2" s="19">
        <v>1</v>
      </c>
      <c r="B2" s="38" t="s">
        <v>131</v>
      </c>
      <c r="C2" s="52">
        <f>'Saját forrás'!C21*0.9</f>
        <v>837000</v>
      </c>
      <c r="D2" s="74" t="s">
        <v>232</v>
      </c>
    </row>
    <row r="3" spans="1:3" ht="20.25">
      <c r="A3" s="19">
        <v>2</v>
      </c>
      <c r="B3" s="38" t="s">
        <v>130</v>
      </c>
      <c r="C3" s="52">
        <f>'Saját forrás'!C22*0.8</f>
        <v>0</v>
      </c>
    </row>
    <row r="4" spans="1:3" ht="20.25">
      <c r="A4" s="22">
        <v>3</v>
      </c>
      <c r="B4" s="39" t="s">
        <v>99</v>
      </c>
      <c r="C4" s="53">
        <f>'Saját forrás'!C21*0.7</f>
        <v>651000</v>
      </c>
    </row>
    <row r="5" spans="1:3" ht="20.25">
      <c r="A5" s="19">
        <v>4</v>
      </c>
      <c r="B5" s="39" t="s">
        <v>81</v>
      </c>
      <c r="C5" s="53">
        <v>4000000</v>
      </c>
    </row>
    <row r="6" spans="1:3" ht="20.25">
      <c r="A6" s="19">
        <v>5</v>
      </c>
      <c r="B6" s="40"/>
      <c r="C6" s="53"/>
    </row>
    <row r="7" spans="1:3" ht="20.25">
      <c r="A7" s="22">
        <v>6</v>
      </c>
      <c r="B7" s="40"/>
      <c r="C7" s="53"/>
    </row>
    <row r="8" spans="1:3" ht="20.25">
      <c r="A8" s="19">
        <v>7</v>
      </c>
      <c r="B8" s="40"/>
      <c r="C8" s="53"/>
    </row>
    <row r="9" spans="1:3" ht="20.25">
      <c r="A9" s="19">
        <v>8</v>
      </c>
      <c r="B9" s="40"/>
      <c r="C9" s="53"/>
    </row>
    <row r="10" spans="1:3" ht="20.25">
      <c r="A10" s="22">
        <v>9</v>
      </c>
      <c r="B10" s="41"/>
      <c r="C10" s="53"/>
    </row>
    <row r="11" spans="1:3" ht="20.25">
      <c r="A11" s="22"/>
      <c r="B11" s="40"/>
      <c r="C11" s="53"/>
    </row>
    <row r="12" spans="1:3" ht="20.25">
      <c r="A12" s="22"/>
      <c r="B12" s="40"/>
      <c r="C12" s="53"/>
    </row>
    <row r="13" spans="1:3" ht="20.25">
      <c r="A13" s="22"/>
      <c r="B13" s="40"/>
      <c r="C13" s="53"/>
    </row>
    <row r="14" spans="1:3" ht="20.25">
      <c r="A14" s="22"/>
      <c r="B14" s="40"/>
      <c r="C14" s="53"/>
    </row>
    <row r="15" spans="1:3" ht="20.25">
      <c r="A15" s="22"/>
      <c r="B15" s="40"/>
      <c r="C15" s="53"/>
    </row>
    <row r="16" spans="1:3" ht="20.25">
      <c r="A16" s="22"/>
      <c r="B16" s="40"/>
      <c r="C16" s="53"/>
    </row>
    <row r="17" spans="1:3" ht="20.25">
      <c r="A17" s="22"/>
      <c r="B17" s="40"/>
      <c r="C17" s="53"/>
    </row>
    <row r="18" spans="1:3" ht="20.25">
      <c r="A18" s="22">
        <v>16</v>
      </c>
      <c r="B18" s="40"/>
      <c r="C18" s="53"/>
    </row>
    <row r="19" spans="1:3" ht="20.25">
      <c r="A19" s="22">
        <v>17</v>
      </c>
      <c r="B19" s="40"/>
      <c r="C19" s="53"/>
    </row>
    <row r="20" spans="1:3" ht="20.25">
      <c r="A20" s="22">
        <v>18</v>
      </c>
      <c r="B20" s="40"/>
      <c r="C20" s="53"/>
    </row>
    <row r="21" spans="1:3" ht="21" thickBot="1">
      <c r="A21" s="28">
        <v>19</v>
      </c>
      <c r="B21" s="42"/>
      <c r="C21" s="54"/>
    </row>
  </sheetData>
  <sheetProtection/>
  <protectedRanges>
    <protectedRange sqref="C2:C21" name="Tartom?ny2"/>
  </protectedRange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48"/>
  <sheetViews>
    <sheetView zoomScalePageLayoutView="0" workbookViewId="0" topLeftCell="I31">
      <selection activeCell="V42" sqref="V42"/>
    </sheetView>
  </sheetViews>
  <sheetFormatPr defaultColWidth="9.140625" defaultRowHeight="12.75"/>
  <cols>
    <col min="1" max="1" width="17.00390625" style="0" customWidth="1"/>
    <col min="2" max="2" width="39.421875" style="0" customWidth="1"/>
    <col min="3" max="3" width="22.57421875" style="46" customWidth="1"/>
    <col min="4" max="5" width="12.57421875" style="0" bestFit="1" customWidth="1"/>
    <col min="6" max="6" width="11.8515625" style="0" customWidth="1"/>
    <col min="7" max="7" width="21.7109375" style="0" customWidth="1"/>
    <col min="12" max="12" width="13.421875" style="0" bestFit="1" customWidth="1"/>
    <col min="15" max="15" width="13.421875" style="0" bestFit="1" customWidth="1"/>
    <col min="18" max="20" width="13.421875" style="0" bestFit="1" customWidth="1"/>
    <col min="21" max="21" width="15.28125" style="0" bestFit="1" customWidth="1"/>
    <col min="24" max="24" width="6.8515625" style="0" bestFit="1" customWidth="1"/>
    <col min="25" max="25" width="15.28125" style="0" bestFit="1" customWidth="1"/>
  </cols>
  <sheetData>
    <row r="1" spans="1:3" ht="20.25" thickBot="1">
      <c r="A1" s="31" t="s">
        <v>20</v>
      </c>
      <c r="B1" s="32" t="s">
        <v>83</v>
      </c>
      <c r="C1" s="51">
        <f>SUM(C2:C22)</f>
        <v>10768505.401096307</v>
      </c>
    </row>
    <row r="2" spans="1:12" ht="15">
      <c r="A2" s="204">
        <v>1</v>
      </c>
      <c r="B2" s="204" t="s">
        <v>261</v>
      </c>
      <c r="C2" s="205">
        <f>152000*12+52*12</f>
        <v>1824624</v>
      </c>
      <c r="D2" s="74"/>
      <c r="F2" s="253" t="s">
        <v>49</v>
      </c>
      <c r="G2" s="254">
        <v>1871416.666666667</v>
      </c>
      <c r="L2" s="74"/>
    </row>
    <row r="3" spans="1:8" ht="15">
      <c r="A3" s="204">
        <v>2</v>
      </c>
      <c r="B3" s="204" t="s">
        <v>316</v>
      </c>
      <c r="C3" s="205">
        <f>D34</f>
        <v>1906500</v>
      </c>
      <c r="D3" s="74"/>
      <c r="F3" s="253" t="s">
        <v>50</v>
      </c>
      <c r="G3" s="254">
        <v>800189.7344296387</v>
      </c>
      <c r="H3" s="74"/>
    </row>
    <row r="4" spans="1:12" ht="15">
      <c r="A4" s="204">
        <v>3</v>
      </c>
      <c r="B4" s="204" t="s">
        <v>265</v>
      </c>
      <c r="C4" s="205">
        <f>D35</f>
        <v>1457000</v>
      </c>
      <c r="D4" s="74"/>
      <c r="F4" s="255" t="s">
        <v>263</v>
      </c>
      <c r="G4" s="256">
        <v>24000</v>
      </c>
      <c r="H4" s="197"/>
      <c r="L4" s="74"/>
    </row>
    <row r="5" spans="1:12" ht="15">
      <c r="A5" s="204">
        <v>4</v>
      </c>
      <c r="B5" s="204" t="s">
        <v>211</v>
      </c>
      <c r="C5" s="205">
        <f>D36</f>
        <v>1531400</v>
      </c>
      <c r="D5" s="74"/>
      <c r="F5" s="257" t="s">
        <v>71</v>
      </c>
      <c r="G5" s="256">
        <v>616500</v>
      </c>
      <c r="L5" s="74"/>
    </row>
    <row r="6" spans="1:7" ht="15.75" thickBot="1">
      <c r="A6" s="204">
        <v>5</v>
      </c>
      <c r="B6" s="204" t="s">
        <v>212</v>
      </c>
      <c r="C6" s="205">
        <f>B34</f>
        <v>0</v>
      </c>
      <c r="D6" s="74"/>
      <c r="F6" s="258" t="s">
        <v>51</v>
      </c>
      <c r="G6" s="259">
        <v>136638.8888888889</v>
      </c>
    </row>
    <row r="7" spans="1:7" ht="15">
      <c r="A7" s="204">
        <v>6</v>
      </c>
      <c r="B7" s="204" t="s">
        <v>51</v>
      </c>
      <c r="C7" s="205">
        <f>D38</f>
        <v>453375</v>
      </c>
      <c r="F7" s="253"/>
      <c r="G7" s="254">
        <v>2695606.401096306</v>
      </c>
    </row>
    <row r="8" spans="1:4" ht="15">
      <c r="A8" s="204">
        <v>7</v>
      </c>
      <c r="B8" s="204" t="s">
        <v>96</v>
      </c>
      <c r="C8" s="205">
        <v>500000</v>
      </c>
      <c r="D8" s="74"/>
    </row>
    <row r="9" spans="1:4" ht="15">
      <c r="A9" s="204">
        <v>8</v>
      </c>
      <c r="B9" s="204" t="s">
        <v>233</v>
      </c>
      <c r="C9" s="205">
        <v>0</v>
      </c>
      <c r="D9" s="74"/>
    </row>
    <row r="10" spans="1:4" ht="15">
      <c r="A10" s="204">
        <v>9</v>
      </c>
      <c r="B10" s="204" t="s">
        <v>264</v>
      </c>
      <c r="C10" s="205">
        <v>400000</v>
      </c>
      <c r="D10" s="74"/>
    </row>
    <row r="11" spans="1:3" ht="15">
      <c r="A11" s="240">
        <v>10</v>
      </c>
      <c r="B11" s="240" t="s">
        <v>262</v>
      </c>
      <c r="C11" s="241">
        <f>G7</f>
        <v>2695606.401096306</v>
      </c>
    </row>
    <row r="12" spans="1:14" s="246" customFormat="1" ht="18">
      <c r="A12" s="201"/>
      <c r="B12" s="201"/>
      <c r="C12" s="201"/>
      <c r="D12" s="201"/>
      <c r="E12" s="201"/>
      <c r="F12" s="201"/>
      <c r="G12" s="201"/>
      <c r="H12" s="242"/>
      <c r="I12" s="242"/>
      <c r="J12" s="243"/>
      <c r="K12" s="244"/>
      <c r="L12" s="242"/>
      <c r="M12" s="201"/>
      <c r="N12" s="202"/>
    </row>
    <row r="13" spans="1:14" s="246" customFormat="1" ht="12.75">
      <c r="A13" s="247"/>
      <c r="B13" s="247"/>
      <c r="C13" s="247"/>
      <c r="D13" s="459"/>
      <c r="E13" s="460"/>
      <c r="F13" s="460"/>
      <c r="G13" s="248"/>
      <c r="H13" s="459"/>
      <c r="I13" s="460"/>
      <c r="J13" s="460"/>
      <c r="K13" s="247"/>
      <c r="L13" s="247"/>
      <c r="M13" s="247"/>
      <c r="N13" s="247"/>
    </row>
    <row r="14" spans="1:14" s="246" customFormat="1" ht="12.75">
      <c r="A14" s="247"/>
      <c r="B14" s="245"/>
      <c r="C14" s="249"/>
      <c r="D14" s="250"/>
      <c r="E14" s="251"/>
      <c r="F14" s="252"/>
      <c r="G14" s="251"/>
      <c r="H14" s="251"/>
      <c r="I14" s="251"/>
      <c r="J14" s="251"/>
      <c r="K14" s="252"/>
      <c r="L14" s="251"/>
      <c r="M14" s="251"/>
      <c r="N14" s="251"/>
    </row>
    <row r="15" spans="1:26" s="246" customFormat="1" ht="18">
      <c r="A15" s="261">
        <v>310</v>
      </c>
      <c r="B15" s="262"/>
      <c r="C15" s="262"/>
      <c r="D15" s="263"/>
      <c r="E15" s="263"/>
      <c r="F15" s="263"/>
      <c r="G15" s="263"/>
      <c r="H15" s="263"/>
      <c r="I15" s="263"/>
      <c r="J15" s="263" t="s">
        <v>266</v>
      </c>
      <c r="K15" s="263"/>
      <c r="L15" s="263"/>
      <c r="M15" s="344"/>
      <c r="N15" s="263"/>
      <c r="O15" s="264"/>
      <c r="P15" s="264" t="s">
        <v>182</v>
      </c>
      <c r="Q15" s="265"/>
      <c r="R15" s="266"/>
      <c r="S15" s="267"/>
      <c r="T15" s="262"/>
      <c r="U15" s="268"/>
      <c r="V15" s="269"/>
      <c r="W15" s="270"/>
      <c r="X15" s="271"/>
      <c r="Y15" s="271"/>
      <c r="Z15" s="272"/>
    </row>
    <row r="16" spans="1:26" s="246" customFormat="1" ht="14.25">
      <c r="A16" s="273" t="s">
        <v>183</v>
      </c>
      <c r="B16" s="273" t="s">
        <v>267</v>
      </c>
      <c r="C16" s="273" t="s">
        <v>268</v>
      </c>
      <c r="D16" s="273" t="s">
        <v>184</v>
      </c>
      <c r="E16" s="453" t="s">
        <v>185</v>
      </c>
      <c r="F16" s="453"/>
      <c r="G16" s="454"/>
      <c r="H16" s="451" t="s">
        <v>186</v>
      </c>
      <c r="I16" s="451"/>
      <c r="J16" s="452"/>
      <c r="K16" s="274"/>
      <c r="L16" s="451" t="s">
        <v>187</v>
      </c>
      <c r="M16" s="452"/>
      <c r="N16" s="452"/>
      <c r="O16" s="455" t="s">
        <v>188</v>
      </c>
      <c r="P16" s="456"/>
      <c r="Q16" s="456"/>
      <c r="R16" s="273" t="s">
        <v>189</v>
      </c>
      <c r="S16" s="453" t="s">
        <v>190</v>
      </c>
      <c r="T16" s="454"/>
      <c r="U16" s="273" t="s">
        <v>191</v>
      </c>
      <c r="V16" s="273" t="s">
        <v>269</v>
      </c>
      <c r="W16" s="273" t="s">
        <v>270</v>
      </c>
      <c r="X16" s="275"/>
      <c r="Y16" s="275"/>
      <c r="Z16" s="276"/>
    </row>
    <row r="17" spans="1:26" s="246" customFormat="1" ht="14.25">
      <c r="A17" s="277" t="s">
        <v>192</v>
      </c>
      <c r="B17" s="353"/>
      <c r="C17" s="278"/>
      <c r="D17" s="279" t="s">
        <v>271</v>
      </c>
      <c r="E17" s="374" t="s">
        <v>272</v>
      </c>
      <c r="F17" s="359"/>
      <c r="G17" s="360" t="s">
        <v>273</v>
      </c>
      <c r="H17" s="360"/>
      <c r="I17" s="360"/>
      <c r="J17" s="360"/>
      <c r="K17" s="360"/>
      <c r="L17" s="374" t="s">
        <v>274</v>
      </c>
      <c r="M17" s="363"/>
      <c r="N17" s="360"/>
      <c r="O17" s="377" t="s">
        <v>275</v>
      </c>
      <c r="P17" s="361" t="s">
        <v>276</v>
      </c>
      <c r="Q17" s="360"/>
      <c r="R17" s="360" t="s">
        <v>277</v>
      </c>
      <c r="S17" s="361" t="s">
        <v>278</v>
      </c>
      <c r="T17" s="362" t="s">
        <v>279</v>
      </c>
      <c r="U17" s="360" t="s">
        <v>280</v>
      </c>
      <c r="V17" s="280"/>
      <c r="W17" s="281"/>
      <c r="X17" s="282"/>
      <c r="Y17" s="360" t="s">
        <v>281</v>
      </c>
      <c r="Z17" s="282"/>
    </row>
    <row r="18" spans="1:26" s="246" customFormat="1" ht="27">
      <c r="A18" s="277" t="s">
        <v>193</v>
      </c>
      <c r="B18" s="353"/>
      <c r="C18" s="278"/>
      <c r="D18" s="355" t="s">
        <v>282</v>
      </c>
      <c r="E18" s="364" t="s">
        <v>283</v>
      </c>
      <c r="F18" s="373"/>
      <c r="G18" s="365" t="s">
        <v>284</v>
      </c>
      <c r="H18" s="365"/>
      <c r="I18" s="365"/>
      <c r="J18" s="366"/>
      <c r="K18" s="365"/>
      <c r="L18" s="364" t="s">
        <v>285</v>
      </c>
      <c r="M18" s="366"/>
      <c r="N18" s="365"/>
      <c r="O18" s="368" t="s">
        <v>286</v>
      </c>
      <c r="P18" s="372" t="s">
        <v>287</v>
      </c>
      <c r="Q18" s="359"/>
      <c r="R18" s="365" t="s">
        <v>288</v>
      </c>
      <c r="S18" s="372" t="s">
        <v>194</v>
      </c>
      <c r="T18" s="368" t="s">
        <v>289</v>
      </c>
      <c r="U18" s="359" t="s">
        <v>290</v>
      </c>
      <c r="V18" s="280"/>
      <c r="W18" s="281"/>
      <c r="X18" s="282"/>
      <c r="Y18" s="359" t="s">
        <v>291</v>
      </c>
      <c r="Z18" s="282"/>
    </row>
    <row r="19" spans="1:26" s="246" customFormat="1" ht="27">
      <c r="A19" s="277" t="s">
        <v>195</v>
      </c>
      <c r="B19" s="353"/>
      <c r="C19" s="278"/>
      <c r="D19" s="355" t="s">
        <v>292</v>
      </c>
      <c r="E19" s="364" t="s">
        <v>293</v>
      </c>
      <c r="F19" s="373"/>
      <c r="G19" s="365" t="s">
        <v>294</v>
      </c>
      <c r="H19" s="365"/>
      <c r="I19" s="365"/>
      <c r="J19" s="366"/>
      <c r="K19" s="365"/>
      <c r="L19" s="364" t="s">
        <v>295</v>
      </c>
      <c r="M19" s="366"/>
      <c r="N19" s="365"/>
      <c r="O19" s="368" t="s">
        <v>296</v>
      </c>
      <c r="P19" s="372" t="s">
        <v>196</v>
      </c>
      <c r="Q19" s="360"/>
      <c r="R19" s="365" t="s">
        <v>297</v>
      </c>
      <c r="S19" s="372" t="s">
        <v>298</v>
      </c>
      <c r="T19" s="368" t="s">
        <v>299</v>
      </c>
      <c r="U19" s="359" t="s">
        <v>300</v>
      </c>
      <c r="V19" s="280"/>
      <c r="W19" s="281"/>
      <c r="X19" s="282"/>
      <c r="Y19" s="359" t="s">
        <v>301</v>
      </c>
      <c r="Z19" s="282"/>
    </row>
    <row r="20" spans="1:26" s="246" customFormat="1" ht="121.5">
      <c r="A20" s="277" t="s">
        <v>197</v>
      </c>
      <c r="B20" s="354"/>
      <c r="C20" s="278"/>
      <c r="D20" s="356" t="s">
        <v>302</v>
      </c>
      <c r="E20" s="367" t="s">
        <v>303</v>
      </c>
      <c r="F20" s="366"/>
      <c r="G20" s="375" t="s">
        <v>304</v>
      </c>
      <c r="H20" s="369"/>
      <c r="I20" s="376"/>
      <c r="J20" s="369"/>
      <c r="K20" s="363"/>
      <c r="L20" s="367" t="s">
        <v>303</v>
      </c>
      <c r="M20" s="370"/>
      <c r="N20" s="365"/>
      <c r="O20" s="367" t="s">
        <v>303</v>
      </c>
      <c r="P20" s="371" t="s">
        <v>305</v>
      </c>
      <c r="Q20" s="360"/>
      <c r="R20" s="375" t="s">
        <v>304</v>
      </c>
      <c r="S20" s="371" t="s">
        <v>318</v>
      </c>
      <c r="T20" s="367" t="s">
        <v>303</v>
      </c>
      <c r="U20" s="390" t="s">
        <v>306</v>
      </c>
      <c r="V20" s="280"/>
      <c r="W20" s="281"/>
      <c r="X20" s="282"/>
      <c r="Y20" s="390" t="s">
        <v>307</v>
      </c>
      <c r="Z20" s="282"/>
    </row>
    <row r="21" spans="1:26" s="246" customFormat="1" ht="27">
      <c r="A21" s="277" t="s">
        <v>198</v>
      </c>
      <c r="B21" s="354"/>
      <c r="C21" s="278"/>
      <c r="D21" s="366" t="s">
        <v>199</v>
      </c>
      <c r="E21" s="367" t="s">
        <v>308</v>
      </c>
      <c r="F21" s="366"/>
      <c r="G21" s="366" t="s">
        <v>199</v>
      </c>
      <c r="H21" s="369"/>
      <c r="I21" s="365"/>
      <c r="J21" s="366"/>
      <c r="K21" s="366"/>
      <c r="L21" s="367" t="s">
        <v>309</v>
      </c>
      <c r="M21" s="366"/>
      <c r="N21" s="366"/>
      <c r="O21" s="367" t="s">
        <v>199</v>
      </c>
      <c r="P21" s="372" t="s">
        <v>200</v>
      </c>
      <c r="Q21" s="363"/>
      <c r="R21" s="366" t="s">
        <v>199</v>
      </c>
      <c r="S21" s="381" t="s">
        <v>200</v>
      </c>
      <c r="T21" s="367" t="s">
        <v>199</v>
      </c>
      <c r="U21" s="359" t="s">
        <v>310</v>
      </c>
      <c r="V21" s="280"/>
      <c r="W21" s="281"/>
      <c r="X21" s="285"/>
      <c r="Y21" s="359" t="s">
        <v>308</v>
      </c>
      <c r="Z21" s="285"/>
    </row>
    <row r="22" spans="1:26" s="246" customFormat="1" ht="15" thickBot="1">
      <c r="A22" s="286" t="s">
        <v>201</v>
      </c>
      <c r="B22" s="354"/>
      <c r="C22" s="287"/>
      <c r="D22" s="288"/>
      <c r="E22" s="289"/>
      <c r="F22" s="288"/>
      <c r="G22" s="290"/>
      <c r="H22" s="284"/>
      <c r="I22" s="283"/>
      <c r="J22" s="291"/>
      <c r="K22" s="291"/>
      <c r="L22" s="289"/>
      <c r="M22" s="292"/>
      <c r="N22" s="290"/>
      <c r="O22" s="293"/>
      <c r="P22" s="378"/>
      <c r="Q22" s="291"/>
      <c r="R22" s="291"/>
      <c r="S22" s="382"/>
      <c r="T22" s="386"/>
      <c r="U22" s="294"/>
      <c r="V22" s="295"/>
      <c r="W22" s="296"/>
      <c r="X22" s="285"/>
      <c r="Y22" s="391"/>
      <c r="Z22" s="285"/>
    </row>
    <row r="23" spans="1:26" s="246" customFormat="1" ht="15" thickBot="1">
      <c r="A23" s="297" t="s">
        <v>202</v>
      </c>
      <c r="B23" s="354"/>
      <c r="C23" s="287"/>
      <c r="D23" s="357"/>
      <c r="E23" s="289"/>
      <c r="F23" s="288"/>
      <c r="G23" s="298"/>
      <c r="H23" s="284"/>
      <c r="I23" s="283"/>
      <c r="J23" s="299"/>
      <c r="K23" s="299"/>
      <c r="L23" s="289"/>
      <c r="M23" s="299"/>
      <c r="N23" s="298"/>
      <c r="O23" s="300"/>
      <c r="P23" s="379"/>
      <c r="Q23" s="299"/>
      <c r="R23" s="299"/>
      <c r="S23" s="383"/>
      <c r="T23" s="387"/>
      <c r="U23" s="279"/>
      <c r="V23" s="301"/>
      <c r="W23" s="302"/>
      <c r="X23" s="285"/>
      <c r="Y23" s="391"/>
      <c r="Z23" s="285"/>
    </row>
    <row r="24" spans="1:26" s="246" customFormat="1" ht="15" thickBot="1">
      <c r="A24" s="297" t="s">
        <v>203</v>
      </c>
      <c r="B24" s="354"/>
      <c r="C24" s="287"/>
      <c r="D24" s="357"/>
      <c r="E24" s="289"/>
      <c r="F24" s="288"/>
      <c r="G24" s="298"/>
      <c r="H24" s="284"/>
      <c r="I24" s="283"/>
      <c r="J24" s="299"/>
      <c r="K24" s="299"/>
      <c r="L24" s="289"/>
      <c r="M24" s="299"/>
      <c r="N24" s="298"/>
      <c r="O24" s="300"/>
      <c r="P24" s="379"/>
      <c r="Q24" s="299"/>
      <c r="R24" s="299"/>
      <c r="S24" s="383"/>
      <c r="T24" s="387"/>
      <c r="U24" s="279"/>
      <c r="V24" s="301"/>
      <c r="W24" s="302"/>
      <c r="X24" s="285"/>
      <c r="Y24" s="391"/>
      <c r="Z24" s="285"/>
    </row>
    <row r="25" spans="1:26" s="246" customFormat="1" ht="15" thickBot="1">
      <c r="A25" s="297" t="s">
        <v>204</v>
      </c>
      <c r="B25" s="354"/>
      <c r="C25" s="287"/>
      <c r="D25" s="357"/>
      <c r="E25" s="289"/>
      <c r="F25" s="288"/>
      <c r="G25" s="298"/>
      <c r="H25" s="284"/>
      <c r="I25" s="283"/>
      <c r="J25" s="298"/>
      <c r="K25" s="298"/>
      <c r="L25" s="289"/>
      <c r="M25" s="299"/>
      <c r="N25" s="298"/>
      <c r="O25" s="300"/>
      <c r="P25" s="379"/>
      <c r="Q25" s="298"/>
      <c r="R25" s="298"/>
      <c r="S25" s="384"/>
      <c r="T25" s="388"/>
      <c r="U25" s="279"/>
      <c r="V25" s="301"/>
      <c r="W25" s="302"/>
      <c r="X25" s="285"/>
      <c r="Y25" s="391"/>
      <c r="Z25" s="285"/>
    </row>
    <row r="26" spans="1:26" s="246" customFormat="1" ht="15" thickBot="1">
      <c r="A26" s="303" t="s">
        <v>205</v>
      </c>
      <c r="B26" s="354"/>
      <c r="C26" s="304"/>
      <c r="D26" s="357"/>
      <c r="E26" s="289"/>
      <c r="F26" s="288"/>
      <c r="G26" s="305"/>
      <c r="H26" s="284"/>
      <c r="I26" s="283"/>
      <c r="J26" s="305"/>
      <c r="K26" s="305"/>
      <c r="L26" s="289"/>
      <c r="M26" s="299"/>
      <c r="N26" s="305"/>
      <c r="O26" s="306"/>
      <c r="P26" s="379"/>
      <c r="Q26" s="299"/>
      <c r="R26" s="299"/>
      <c r="S26" s="383"/>
      <c r="T26" s="387"/>
      <c r="U26" s="279"/>
      <c r="V26" s="301"/>
      <c r="W26" s="307"/>
      <c r="X26" s="260"/>
      <c r="Y26" s="392"/>
      <c r="Z26" s="260"/>
    </row>
    <row r="27" spans="1:26" s="246" customFormat="1" ht="15" thickBot="1">
      <c r="A27" s="303" t="s">
        <v>206</v>
      </c>
      <c r="B27" s="354"/>
      <c r="C27" s="304"/>
      <c r="D27" s="357"/>
      <c r="E27" s="289"/>
      <c r="F27" s="288"/>
      <c r="G27" s="305"/>
      <c r="H27" s="284"/>
      <c r="I27" s="283"/>
      <c r="J27" s="309"/>
      <c r="K27" s="309"/>
      <c r="L27" s="289"/>
      <c r="M27" s="299"/>
      <c r="N27" s="305"/>
      <c r="O27" s="306"/>
      <c r="P27" s="379"/>
      <c r="Q27" s="299"/>
      <c r="R27" s="299"/>
      <c r="S27" s="383"/>
      <c r="T27" s="387"/>
      <c r="U27" s="279"/>
      <c r="V27" s="301"/>
      <c r="W27" s="307"/>
      <c r="X27" s="260"/>
      <c r="Y27" s="392"/>
      <c r="Z27" s="260"/>
    </row>
    <row r="28" spans="1:26" s="246" customFormat="1" ht="14.25">
      <c r="A28" s="303" t="s">
        <v>207</v>
      </c>
      <c r="B28" s="354"/>
      <c r="C28" s="310"/>
      <c r="D28" s="358"/>
      <c r="E28" s="312"/>
      <c r="F28" s="311"/>
      <c r="G28" s="313"/>
      <c r="H28" s="284"/>
      <c r="I28" s="283"/>
      <c r="J28" s="313"/>
      <c r="K28" s="313"/>
      <c r="L28" s="312"/>
      <c r="M28" s="314"/>
      <c r="N28" s="313"/>
      <c r="O28" s="315"/>
      <c r="P28" s="380"/>
      <c r="Q28" s="314"/>
      <c r="R28" s="314"/>
      <c r="S28" s="385"/>
      <c r="T28" s="389"/>
      <c r="U28" s="316"/>
      <c r="V28" s="301"/>
      <c r="W28" s="307"/>
      <c r="X28" s="260"/>
      <c r="Y28" s="392"/>
      <c r="Z28" s="260"/>
    </row>
    <row r="29" spans="1:26" s="246" customFormat="1" ht="15">
      <c r="A29" s="394" t="s">
        <v>311</v>
      </c>
      <c r="B29" s="395"/>
      <c r="C29" s="396"/>
      <c r="D29" s="397">
        <v>600</v>
      </c>
      <c r="E29" s="415">
        <v>90</v>
      </c>
      <c r="F29" s="398"/>
      <c r="G29" s="416">
        <v>745</v>
      </c>
      <c r="H29" s="399"/>
      <c r="I29" s="398"/>
      <c r="J29" s="398"/>
      <c r="K29" s="400"/>
      <c r="L29" s="415">
        <v>90</v>
      </c>
      <c r="M29" s="398"/>
      <c r="N29" s="398"/>
      <c r="O29" s="415">
        <v>90</v>
      </c>
      <c r="P29" s="401"/>
      <c r="Q29" s="400"/>
      <c r="R29" s="416">
        <v>745</v>
      </c>
      <c r="S29" s="417">
        <v>585</v>
      </c>
      <c r="T29" s="415">
        <v>300</v>
      </c>
      <c r="U29" s="419">
        <v>3740</v>
      </c>
      <c r="V29" s="402"/>
      <c r="W29" s="403"/>
      <c r="X29" s="404"/>
      <c r="Y29" s="419">
        <v>2050</v>
      </c>
      <c r="Z29" s="404"/>
    </row>
    <row r="30" spans="1:26" s="246" customFormat="1" ht="108">
      <c r="A30" s="405" t="s">
        <v>208</v>
      </c>
      <c r="B30" s="395"/>
      <c r="C30" s="406"/>
      <c r="D30" s="397">
        <v>2</v>
      </c>
      <c r="E30" s="415" t="s">
        <v>312</v>
      </c>
      <c r="F30" s="398"/>
      <c r="G30" s="414">
        <v>2</v>
      </c>
      <c r="H30" s="399"/>
      <c r="I30" s="398"/>
      <c r="J30" s="398"/>
      <c r="K30" s="407"/>
      <c r="L30" s="415" t="s">
        <v>312</v>
      </c>
      <c r="M30" s="398"/>
      <c r="N30" s="398"/>
      <c r="O30" s="415" t="s">
        <v>312</v>
      </c>
      <c r="P30" s="401"/>
      <c r="Q30" s="408"/>
      <c r="R30" s="414">
        <v>2</v>
      </c>
      <c r="S30" s="422" t="s">
        <v>313</v>
      </c>
      <c r="T30" s="415" t="s">
        <v>312</v>
      </c>
      <c r="U30" s="398"/>
      <c r="V30" s="402"/>
      <c r="W30" s="403"/>
      <c r="X30" s="404"/>
      <c r="Y30" s="398">
        <v>3</v>
      </c>
      <c r="Z30" s="404"/>
    </row>
    <row r="31" spans="1:27" s="246" customFormat="1" ht="15.75" thickBot="1">
      <c r="A31" s="409" t="s">
        <v>314</v>
      </c>
      <c r="B31" s="395"/>
      <c r="C31" s="410"/>
      <c r="D31" s="415">
        <v>1200</v>
      </c>
      <c r="E31" s="415">
        <v>450</v>
      </c>
      <c r="F31" s="398"/>
      <c r="G31" s="416">
        <v>1240</v>
      </c>
      <c r="H31" s="399"/>
      <c r="I31" s="398"/>
      <c r="J31" s="398"/>
      <c r="K31" s="411"/>
      <c r="L31" s="415">
        <v>450</v>
      </c>
      <c r="M31" s="398"/>
      <c r="N31" s="398"/>
      <c r="O31" s="415">
        <v>450</v>
      </c>
      <c r="P31" s="401"/>
      <c r="Q31" s="398"/>
      <c r="R31" s="416">
        <v>1240</v>
      </c>
      <c r="S31" s="417">
        <v>1462.5</v>
      </c>
      <c r="T31" s="415">
        <v>870</v>
      </c>
      <c r="U31" s="419">
        <v>3740</v>
      </c>
      <c r="V31" s="412"/>
      <c r="W31" s="403"/>
      <c r="X31" s="404"/>
      <c r="Y31" s="419">
        <v>6150</v>
      </c>
      <c r="Z31" s="404"/>
      <c r="AA31" s="404">
        <v>16052.5</v>
      </c>
    </row>
    <row r="32" spans="1:27" s="246" customFormat="1" ht="15.75" thickBot="1">
      <c r="A32" s="409" t="s">
        <v>315</v>
      </c>
      <c r="B32" s="395"/>
      <c r="C32" s="413">
        <v>0</v>
      </c>
      <c r="D32" s="420">
        <v>372000</v>
      </c>
      <c r="E32" s="420">
        <v>139500</v>
      </c>
      <c r="F32" s="423"/>
      <c r="G32" s="423">
        <v>384400</v>
      </c>
      <c r="H32" s="424"/>
      <c r="I32" s="423"/>
      <c r="J32" s="425"/>
      <c r="K32" s="426">
        <v>0</v>
      </c>
      <c r="L32" s="420">
        <v>139500</v>
      </c>
      <c r="M32" s="423"/>
      <c r="N32" s="423"/>
      <c r="O32" s="420">
        <v>139500</v>
      </c>
      <c r="P32" s="418"/>
      <c r="Q32" s="423"/>
      <c r="R32" s="423">
        <v>384400</v>
      </c>
      <c r="S32" s="418">
        <v>453375</v>
      </c>
      <c r="T32" s="420">
        <v>269700</v>
      </c>
      <c r="U32" s="427">
        <v>1159400</v>
      </c>
      <c r="V32" s="426">
        <v>0</v>
      </c>
      <c r="W32" s="426">
        <v>0</v>
      </c>
      <c r="X32" s="426">
        <v>0</v>
      </c>
      <c r="Y32" s="427">
        <v>1906500</v>
      </c>
      <c r="Z32" s="426">
        <v>0</v>
      </c>
      <c r="AA32" s="428">
        <v>5348275</v>
      </c>
    </row>
    <row r="33" spans="1:27" s="246" customFormat="1" ht="15" thickBot="1">
      <c r="A33" s="321" t="s">
        <v>209</v>
      </c>
      <c r="B33" s="322"/>
      <c r="C33" s="322"/>
      <c r="D33" s="323"/>
      <c r="E33" s="317"/>
      <c r="F33" s="317"/>
      <c r="G33" s="318"/>
      <c r="H33" s="318"/>
      <c r="I33" s="318"/>
      <c r="J33" s="457"/>
      <c r="K33" s="458"/>
      <c r="L33" s="325"/>
      <c r="M33" s="325"/>
      <c r="N33" s="318"/>
      <c r="O33" s="318"/>
      <c r="P33" s="318"/>
      <c r="Q33" s="319"/>
      <c r="R33" s="318"/>
      <c r="S33" s="318"/>
      <c r="T33" s="318"/>
      <c r="U33" s="318"/>
      <c r="V33" s="318"/>
      <c r="W33" s="320"/>
      <c r="X33" s="260"/>
      <c r="Y33" s="260"/>
      <c r="Z33" s="260"/>
      <c r="AA33" s="308">
        <v>0</v>
      </c>
    </row>
    <row r="34" spans="1:27" s="246" customFormat="1" ht="14.25">
      <c r="A34" s="326" t="s">
        <v>316</v>
      </c>
      <c r="B34" s="327"/>
      <c r="C34" s="327"/>
      <c r="D34" s="324">
        <v>1906500</v>
      </c>
      <c r="E34" s="325"/>
      <c r="F34" s="325"/>
      <c r="G34" s="318"/>
      <c r="H34" s="327"/>
      <c r="I34" s="349"/>
      <c r="J34" s="457"/>
      <c r="K34" s="458"/>
      <c r="L34" s="325"/>
      <c r="M34" s="325"/>
      <c r="N34" s="318"/>
      <c r="O34" s="318"/>
      <c r="P34" s="318"/>
      <c r="Q34" s="319"/>
      <c r="R34" s="318"/>
      <c r="S34" s="318"/>
      <c r="T34" s="318"/>
      <c r="U34" s="318"/>
      <c r="V34" s="318"/>
      <c r="W34" s="320"/>
      <c r="X34" s="329"/>
      <c r="Y34" s="329"/>
      <c r="Z34" s="329"/>
      <c r="AA34" s="329"/>
    </row>
    <row r="35" spans="1:27" s="246" customFormat="1" ht="27">
      <c r="A35" s="326" t="s">
        <v>210</v>
      </c>
      <c r="B35" s="327"/>
      <c r="C35" s="327"/>
      <c r="D35" s="324">
        <v>1457000</v>
      </c>
      <c r="E35" s="325"/>
      <c r="F35" s="325"/>
      <c r="G35" s="318"/>
      <c r="H35" s="327"/>
      <c r="I35" s="349"/>
      <c r="J35" s="327"/>
      <c r="K35" s="349"/>
      <c r="L35" s="325"/>
      <c r="M35" s="325"/>
      <c r="N35" s="318"/>
      <c r="O35" s="350"/>
      <c r="P35" s="318"/>
      <c r="Q35" s="319"/>
      <c r="R35" s="318"/>
      <c r="S35" s="393"/>
      <c r="T35" s="421"/>
      <c r="U35" s="318"/>
      <c r="V35" s="318"/>
      <c r="W35" s="320"/>
      <c r="X35" s="329"/>
      <c r="Y35" s="329"/>
      <c r="Z35" s="329"/>
      <c r="AA35" s="329"/>
    </row>
    <row r="36" spans="1:27" s="246" customFormat="1" ht="14.25">
      <c r="A36" s="310" t="s">
        <v>211</v>
      </c>
      <c r="B36" s="330"/>
      <c r="C36" s="330"/>
      <c r="D36" s="324">
        <v>1531400</v>
      </c>
      <c r="E36" s="325"/>
      <c r="F36" s="325"/>
      <c r="G36" s="319"/>
      <c r="H36" s="319"/>
      <c r="I36" s="319"/>
      <c r="J36" s="461"/>
      <c r="K36" s="462"/>
      <c r="L36" s="331"/>
      <c r="M36" s="331"/>
      <c r="N36" s="319"/>
      <c r="O36" s="351"/>
      <c r="P36" s="319"/>
      <c r="Q36" s="319"/>
      <c r="R36" s="318"/>
      <c r="S36" s="318"/>
      <c r="T36" s="318"/>
      <c r="U36" s="318"/>
      <c r="V36" s="318"/>
      <c r="W36" s="320"/>
      <c r="X36" s="329"/>
      <c r="Y36" s="329"/>
      <c r="Z36" s="329"/>
      <c r="AA36" s="329"/>
    </row>
    <row r="37" spans="1:27" s="246" customFormat="1" ht="14.25">
      <c r="A37" s="310" t="s">
        <v>212</v>
      </c>
      <c r="B37" s="330"/>
      <c r="C37" s="330"/>
      <c r="D37" s="324"/>
      <c r="E37" s="325"/>
      <c r="F37" s="325"/>
      <c r="G37" s="319"/>
      <c r="H37" s="319"/>
      <c r="I37" s="319"/>
      <c r="J37" s="319"/>
      <c r="K37" s="319"/>
      <c r="L37" s="319"/>
      <c r="M37" s="345"/>
      <c r="N37" s="319"/>
      <c r="O37" s="351"/>
      <c r="P37" s="319"/>
      <c r="Q37" s="319"/>
      <c r="R37" s="318"/>
      <c r="S37" s="318"/>
      <c r="T37" s="318"/>
      <c r="U37" s="318"/>
      <c r="V37" s="318"/>
      <c r="W37" s="320"/>
      <c r="X37" s="329"/>
      <c r="Y37" s="329"/>
      <c r="Z37" s="329"/>
      <c r="AA37" s="329"/>
    </row>
    <row r="38" spans="1:27" s="246" customFormat="1" ht="14.25">
      <c r="A38" s="330" t="s">
        <v>51</v>
      </c>
      <c r="B38" s="330"/>
      <c r="C38" s="330"/>
      <c r="D38" s="324">
        <v>453375</v>
      </c>
      <c r="E38" s="325"/>
      <c r="F38" s="325"/>
      <c r="G38" s="319"/>
      <c r="H38" s="319"/>
      <c r="I38" s="319"/>
      <c r="J38" s="319"/>
      <c r="K38" s="319"/>
      <c r="L38" s="319"/>
      <c r="M38" s="345"/>
      <c r="N38" s="319"/>
      <c r="O38" s="352"/>
      <c r="P38" s="319"/>
      <c r="Q38" s="319"/>
      <c r="R38" s="318"/>
      <c r="S38" s="318"/>
      <c r="T38" s="318"/>
      <c r="U38" s="318"/>
      <c r="V38" s="318"/>
      <c r="W38" s="320"/>
      <c r="X38" s="329"/>
      <c r="Y38" s="329"/>
      <c r="Z38" s="329"/>
      <c r="AA38" s="329"/>
    </row>
    <row r="39" spans="1:27" s="246" customFormat="1" ht="15" thickBot="1">
      <c r="A39" s="332" t="s">
        <v>317</v>
      </c>
      <c r="B39" s="333"/>
      <c r="C39" s="333"/>
      <c r="D39" s="328"/>
      <c r="E39" s="325"/>
      <c r="F39" s="325"/>
      <c r="G39" s="319"/>
      <c r="H39" s="319"/>
      <c r="I39" s="319"/>
      <c r="J39" s="319"/>
      <c r="K39" s="319"/>
      <c r="L39" s="319"/>
      <c r="M39" s="345"/>
      <c r="N39" s="319"/>
      <c r="O39" s="352"/>
      <c r="P39" s="319"/>
      <c r="Q39" s="319"/>
      <c r="R39" s="318"/>
      <c r="S39" s="318"/>
      <c r="T39" s="318"/>
      <c r="U39" s="318"/>
      <c r="V39" s="318"/>
      <c r="W39" s="320"/>
      <c r="X39" s="329"/>
      <c r="Y39" s="329"/>
      <c r="Z39" s="329"/>
      <c r="AA39" s="329"/>
    </row>
    <row r="40" spans="1:27" s="246" customFormat="1" ht="15" thickTop="1">
      <c r="A40" s="310" t="s">
        <v>213</v>
      </c>
      <c r="B40" s="330"/>
      <c r="C40" s="330"/>
      <c r="D40" s="334">
        <v>5348275</v>
      </c>
      <c r="E40" s="331"/>
      <c r="F40" s="331"/>
      <c r="G40" s="319"/>
      <c r="H40" s="319"/>
      <c r="I40" s="319"/>
      <c r="J40" s="319"/>
      <c r="K40" s="319"/>
      <c r="L40" s="319"/>
      <c r="M40" s="345"/>
      <c r="N40" s="319"/>
      <c r="O40" s="319"/>
      <c r="P40" s="319"/>
      <c r="Q40" s="319"/>
      <c r="R40" s="318"/>
      <c r="S40" s="318"/>
      <c r="T40" s="318"/>
      <c r="U40" s="318"/>
      <c r="V40" s="318"/>
      <c r="W40" s="320"/>
      <c r="X40" s="329"/>
      <c r="Y40" s="329"/>
      <c r="Z40" s="329"/>
      <c r="AA40" s="329"/>
    </row>
    <row r="41" spans="1:27" ht="14.25">
      <c r="A41" s="330"/>
      <c r="B41" s="330"/>
      <c r="C41" s="330"/>
      <c r="D41" s="331"/>
      <c r="E41" s="331"/>
      <c r="F41" s="331"/>
      <c r="G41" s="319"/>
      <c r="H41" s="319"/>
      <c r="I41" s="319"/>
      <c r="J41" s="319"/>
      <c r="K41" s="319"/>
      <c r="L41" s="319"/>
      <c r="M41" s="345"/>
      <c r="N41" s="319"/>
      <c r="O41" s="319"/>
      <c r="P41" s="319"/>
      <c r="Q41" s="319"/>
      <c r="R41" s="318"/>
      <c r="S41" s="318"/>
      <c r="T41" s="318"/>
      <c r="U41" s="318"/>
      <c r="V41" s="318"/>
      <c r="W41" s="320"/>
      <c r="X41" s="329"/>
      <c r="Y41" s="329"/>
      <c r="Z41" s="329"/>
      <c r="AA41" s="329"/>
    </row>
    <row r="42" spans="1:27" ht="14.25">
      <c r="A42" s="330"/>
      <c r="B42" s="329"/>
      <c r="C42" s="329"/>
      <c r="D42" s="331"/>
      <c r="E42" s="329"/>
      <c r="F42" s="335"/>
      <c r="G42" s="320"/>
      <c r="H42" s="320"/>
      <c r="I42" s="320"/>
      <c r="J42" s="319"/>
      <c r="K42" s="319"/>
      <c r="L42" s="319"/>
      <c r="M42" s="345"/>
      <c r="N42" s="320"/>
      <c r="O42" s="320"/>
      <c r="P42" s="320"/>
      <c r="Q42" s="320"/>
      <c r="R42" s="320"/>
      <c r="S42" s="320"/>
      <c r="T42" s="320"/>
      <c r="U42" s="320"/>
      <c r="V42" s="329"/>
      <c r="W42" s="329"/>
      <c r="X42" s="329"/>
      <c r="Y42" s="329"/>
      <c r="Z42" s="329"/>
      <c r="AA42" s="329"/>
    </row>
    <row r="43" spans="1:27" ht="14.25">
      <c r="A43" s="329"/>
      <c r="B43" s="329"/>
      <c r="C43" s="329"/>
      <c r="D43" s="329"/>
      <c r="E43" s="329"/>
      <c r="F43" s="335"/>
      <c r="G43" s="336"/>
      <c r="H43" s="336"/>
      <c r="I43" s="336"/>
      <c r="J43" s="320"/>
      <c r="K43" s="320"/>
      <c r="L43" s="320"/>
      <c r="M43" s="346"/>
      <c r="N43" s="320"/>
      <c r="O43" s="320"/>
      <c r="P43" s="320"/>
      <c r="Q43" s="320"/>
      <c r="R43" s="320"/>
      <c r="S43" s="320"/>
      <c r="T43" s="320"/>
      <c r="U43" s="320"/>
      <c r="V43" s="329"/>
      <c r="W43" s="329"/>
      <c r="X43" s="329"/>
      <c r="Y43" s="329"/>
      <c r="Z43" s="329"/>
      <c r="AA43" s="329"/>
    </row>
    <row r="44" spans="1:27" ht="14.25">
      <c r="A44" s="260"/>
      <c r="B44" s="337"/>
      <c r="C44" s="260"/>
      <c r="D44" s="260"/>
      <c r="E44" s="260"/>
      <c r="F44" s="338"/>
      <c r="G44" s="336"/>
      <c r="H44" s="336"/>
      <c r="I44" s="336"/>
      <c r="J44" s="339"/>
      <c r="K44" s="339"/>
      <c r="L44" s="336"/>
      <c r="M44" s="347"/>
      <c r="N44" s="340"/>
      <c r="O44" s="340"/>
      <c r="P44" s="340"/>
      <c r="Q44" s="340"/>
      <c r="R44" s="340"/>
      <c r="S44" s="340"/>
      <c r="T44" s="340"/>
      <c r="U44" s="340"/>
      <c r="V44" s="260"/>
      <c r="W44" s="260"/>
      <c r="X44" s="260"/>
      <c r="Y44" s="260"/>
      <c r="Z44" s="260"/>
      <c r="AA44" s="260"/>
    </row>
    <row r="45" spans="1:27" ht="14.25">
      <c r="A45" s="260"/>
      <c r="B45" s="337"/>
      <c r="C45" s="260"/>
      <c r="D45" s="339"/>
      <c r="E45" s="339"/>
      <c r="F45" s="341"/>
      <c r="G45" s="336"/>
      <c r="H45" s="336"/>
      <c r="I45" s="336"/>
      <c r="J45" s="336"/>
      <c r="K45" s="336"/>
      <c r="L45" s="339"/>
      <c r="M45" s="341"/>
      <c r="N45" s="340"/>
      <c r="O45" s="340"/>
      <c r="P45" s="340"/>
      <c r="Q45" s="340"/>
      <c r="R45" s="340"/>
      <c r="S45" s="340"/>
      <c r="T45" s="340"/>
      <c r="U45" s="340"/>
      <c r="V45" s="260"/>
      <c r="W45" s="260"/>
      <c r="X45" s="260"/>
      <c r="Y45" s="260"/>
      <c r="Z45" s="260"/>
      <c r="AA45" s="260"/>
    </row>
    <row r="46" spans="1:27" ht="14.25">
      <c r="A46" s="260"/>
      <c r="B46" s="337"/>
      <c r="C46" s="260"/>
      <c r="D46" s="339"/>
      <c r="E46" s="339"/>
      <c r="F46" s="339"/>
      <c r="G46" s="336"/>
      <c r="H46" s="336"/>
      <c r="I46" s="336"/>
      <c r="J46" s="339"/>
      <c r="K46" s="339"/>
      <c r="L46" s="336"/>
      <c r="M46" s="347"/>
      <c r="N46" s="340"/>
      <c r="O46" s="340"/>
      <c r="P46" s="340"/>
      <c r="Q46" s="340"/>
      <c r="R46" s="340"/>
      <c r="S46" s="340"/>
      <c r="T46" s="340"/>
      <c r="U46" s="340"/>
      <c r="V46" s="260"/>
      <c r="W46" s="260"/>
      <c r="X46" s="260"/>
      <c r="Y46" s="260"/>
      <c r="Z46" s="260"/>
      <c r="AA46" s="260"/>
    </row>
    <row r="47" spans="2:13" ht="14.25">
      <c r="B47" s="337"/>
      <c r="C47" s="260"/>
      <c r="D47" s="342"/>
      <c r="E47" s="342"/>
      <c r="F47" s="342"/>
      <c r="G47" s="343"/>
      <c r="H47" s="343"/>
      <c r="I47" s="343"/>
      <c r="J47" s="336"/>
      <c r="K47" s="336"/>
      <c r="L47" s="339"/>
      <c r="M47" s="341"/>
    </row>
    <row r="48" spans="2:13" ht="14.25">
      <c r="B48" s="260"/>
      <c r="C48" s="260"/>
      <c r="D48" s="260"/>
      <c r="E48" s="260"/>
      <c r="F48" s="260"/>
      <c r="G48" s="260"/>
      <c r="H48" s="260"/>
      <c r="I48" s="260"/>
      <c r="J48" s="342"/>
      <c r="K48" s="342"/>
      <c r="L48" s="343"/>
      <c r="M48" s="348"/>
    </row>
  </sheetData>
  <sheetProtection/>
  <protectedRanges>
    <protectedRange sqref="C12:C22" name="Tartom?ny2"/>
    <protectedRange sqref="C8:C10 C2" name="Tartom?ny2_1"/>
  </protectedRanges>
  <mergeCells count="10">
    <mergeCell ref="J34:K34"/>
    <mergeCell ref="J36:K36"/>
    <mergeCell ref="H16:J16"/>
    <mergeCell ref="L16:N16"/>
    <mergeCell ref="S16:T16"/>
    <mergeCell ref="O16:Q16"/>
    <mergeCell ref="J33:K33"/>
    <mergeCell ref="D13:F13"/>
    <mergeCell ref="H13:J13"/>
    <mergeCell ref="E16:G1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zoomScalePageLayoutView="0" workbookViewId="0" topLeftCell="B1">
      <selection activeCell="E16" sqref="E16"/>
    </sheetView>
  </sheetViews>
  <sheetFormatPr defaultColWidth="9.140625" defaultRowHeight="12.75"/>
  <cols>
    <col min="2" max="2" width="105.57421875" style="0" customWidth="1"/>
    <col min="3" max="3" width="18.140625" style="46" customWidth="1"/>
    <col min="4" max="4" width="8.8515625" style="0" bestFit="1" customWidth="1"/>
    <col min="7" max="8" width="8.8515625" style="0" bestFit="1" customWidth="1"/>
  </cols>
  <sheetData>
    <row r="1" spans="1:3" ht="20.25" thickBot="1">
      <c r="A1" s="31" t="s">
        <v>20</v>
      </c>
      <c r="B1" s="32" t="s">
        <v>12</v>
      </c>
      <c r="C1" s="51">
        <f>SUM(C2:C21)</f>
        <v>9675000</v>
      </c>
    </row>
    <row r="2" spans="1:3" ht="20.25">
      <c r="A2" s="19">
        <v>1</v>
      </c>
      <c r="B2" s="20" t="s">
        <v>80</v>
      </c>
      <c r="C2" s="52">
        <v>200000</v>
      </c>
    </row>
    <row r="3" spans="1:3" ht="20.25">
      <c r="A3" s="22">
        <v>2</v>
      </c>
      <c r="B3" s="23" t="s">
        <v>240</v>
      </c>
      <c r="C3" s="53">
        <v>10000</v>
      </c>
    </row>
    <row r="4" spans="1:3" ht="20.25">
      <c r="A4" s="22">
        <v>3</v>
      </c>
      <c r="B4" s="40" t="s">
        <v>78</v>
      </c>
      <c r="C4" s="53">
        <v>100000</v>
      </c>
    </row>
    <row r="5" spans="1:8" ht="20.25">
      <c r="A5" s="22">
        <v>4</v>
      </c>
      <c r="B5" s="25" t="s">
        <v>79</v>
      </c>
      <c r="C5" s="52">
        <v>0</v>
      </c>
      <c r="H5" s="74" t="s">
        <v>109</v>
      </c>
    </row>
    <row r="6" spans="1:8" ht="20.25">
      <c r="A6" s="22">
        <v>5</v>
      </c>
      <c r="B6" s="25" t="s">
        <v>241</v>
      </c>
      <c r="C6" s="53">
        <f>D6</f>
        <v>400000</v>
      </c>
      <c r="D6" s="46">
        <f>20000*20</f>
        <v>400000</v>
      </c>
      <c r="E6" s="128" t="s">
        <v>108</v>
      </c>
      <c r="F6" s="46"/>
      <c r="G6" s="46">
        <f>D6*0.5</f>
        <v>200000</v>
      </c>
      <c r="H6" s="46">
        <f>D6*0.5</f>
        <v>200000</v>
      </c>
    </row>
    <row r="7" spans="1:8" ht="20.25">
      <c r="A7" s="22">
        <v>6</v>
      </c>
      <c r="B7" s="25" t="s">
        <v>242</v>
      </c>
      <c r="C7" s="53">
        <v>1000000</v>
      </c>
      <c r="D7" s="46">
        <v>1000000</v>
      </c>
      <c r="E7" s="128" t="s">
        <v>244</v>
      </c>
      <c r="F7" s="46"/>
      <c r="G7" s="46">
        <f>D7*0.6</f>
        <v>600000</v>
      </c>
      <c r="H7" s="46">
        <f>D7*0.4</f>
        <v>400000</v>
      </c>
    </row>
    <row r="8" spans="1:8" ht="20.25">
      <c r="A8" s="22"/>
      <c r="B8" s="25"/>
      <c r="C8" s="53"/>
      <c r="D8" s="46"/>
      <c r="E8" s="128" t="s">
        <v>108</v>
      </c>
      <c r="F8" s="46"/>
      <c r="G8" s="46">
        <f>D8*0.7</f>
        <v>0</v>
      </c>
      <c r="H8" s="46">
        <f>D8*0.5</f>
        <v>0</v>
      </c>
    </row>
    <row r="9" spans="1:8" ht="20.25">
      <c r="A9" s="22">
        <v>7</v>
      </c>
      <c r="B9" s="25" t="s">
        <v>243</v>
      </c>
      <c r="C9" s="53">
        <f>D9</f>
        <v>5460000</v>
      </c>
      <c r="D9" s="46">
        <f>20*(273000)</f>
        <v>5460000</v>
      </c>
      <c r="E9" s="128" t="s">
        <v>107</v>
      </c>
      <c r="F9" s="46"/>
      <c r="G9" s="46">
        <f>D9*0.7</f>
        <v>3821999.9999999995</v>
      </c>
      <c r="H9" s="46">
        <f>D9*0.3</f>
        <v>1638000</v>
      </c>
    </row>
    <row r="10" spans="1:8" ht="20.25">
      <c r="A10" s="22">
        <v>8</v>
      </c>
      <c r="B10" s="25" t="s">
        <v>319</v>
      </c>
      <c r="C10" s="53">
        <v>0</v>
      </c>
      <c r="D10" s="46">
        <f>C10</f>
        <v>0</v>
      </c>
      <c r="E10" s="128" t="s">
        <v>107</v>
      </c>
      <c r="F10" s="46"/>
      <c r="G10" s="46">
        <f>D10*0.7</f>
        <v>0</v>
      </c>
      <c r="H10" s="46">
        <f>D10*0.3</f>
        <v>0</v>
      </c>
    </row>
    <row r="11" spans="1:8" ht="20.25">
      <c r="A11" s="22">
        <v>9</v>
      </c>
      <c r="B11" s="25" t="s">
        <v>122</v>
      </c>
      <c r="C11" s="53">
        <v>0</v>
      </c>
      <c r="D11" s="46"/>
      <c r="E11" s="46"/>
      <c r="F11" s="46"/>
      <c r="G11" s="46"/>
      <c r="H11" s="46">
        <f>D11*0.3</f>
        <v>0</v>
      </c>
    </row>
    <row r="12" spans="1:8" ht="20.25">
      <c r="A12" s="22">
        <v>10</v>
      </c>
      <c r="B12" s="25" t="s">
        <v>320</v>
      </c>
      <c r="C12" s="53">
        <f>18000*40</f>
        <v>720000</v>
      </c>
      <c r="D12" s="46">
        <f>C12</f>
        <v>720000</v>
      </c>
      <c r="E12" s="128" t="s">
        <v>107</v>
      </c>
      <c r="F12" s="46"/>
      <c r="G12" s="46">
        <f>D12*0.7</f>
        <v>503999.99999999994</v>
      </c>
      <c r="H12" s="46">
        <f>D12*0.3</f>
        <v>216000</v>
      </c>
    </row>
    <row r="13" spans="1:8" ht="19.5">
      <c r="A13" s="22">
        <v>11</v>
      </c>
      <c r="B13" s="27"/>
      <c r="C13" s="53"/>
      <c r="H13" s="131">
        <f>SUM(H6:H12)</f>
        <v>2454000</v>
      </c>
    </row>
    <row r="14" spans="1:3" ht="19.5">
      <c r="A14" s="22">
        <v>12</v>
      </c>
      <c r="B14" s="27" t="s">
        <v>321</v>
      </c>
      <c r="C14" s="53">
        <f>119000*15</f>
        <v>1785000</v>
      </c>
    </row>
    <row r="15" spans="1:3" ht="19.5">
      <c r="A15" s="22">
        <v>13</v>
      </c>
      <c r="B15" s="27"/>
      <c r="C15" s="53"/>
    </row>
    <row r="16" spans="1:3" ht="19.5">
      <c r="A16" s="22">
        <v>14</v>
      </c>
      <c r="B16" s="27"/>
      <c r="C16" s="53"/>
    </row>
    <row r="17" spans="1:3" ht="19.5">
      <c r="A17" s="22">
        <v>15</v>
      </c>
      <c r="B17" s="27"/>
      <c r="C17" s="53"/>
    </row>
    <row r="18" spans="1:3" ht="19.5">
      <c r="A18" s="22">
        <v>16</v>
      </c>
      <c r="B18" s="27"/>
      <c r="C18" s="53"/>
    </row>
    <row r="19" spans="1:3" ht="19.5">
      <c r="A19" s="22">
        <v>17</v>
      </c>
      <c r="B19" s="27"/>
      <c r="C19" s="53"/>
    </row>
    <row r="20" spans="1:3" ht="19.5">
      <c r="A20" s="22">
        <v>18</v>
      </c>
      <c r="B20" s="27"/>
      <c r="C20" s="53"/>
    </row>
    <row r="21" spans="1:3" ht="20.25" thickBot="1">
      <c r="A21" s="28">
        <v>19</v>
      </c>
      <c r="B21" s="29"/>
      <c r="C21" s="54"/>
    </row>
  </sheetData>
  <sheetProtection/>
  <protectedRanges>
    <protectedRange sqref="C2:C3 C15:C21 D10 D12 C6:C13" name="Tartom?ny2"/>
    <protectedRange sqref="C4" name="Tartom?ny2_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J25" sqref="J25"/>
    </sheetView>
  </sheetViews>
  <sheetFormatPr defaultColWidth="9.140625" defaultRowHeight="12.75" outlineLevelRow="1"/>
  <cols>
    <col min="2" max="2" width="37.28125" style="0" bestFit="1" customWidth="1"/>
    <col min="6" max="6" width="9.7109375" style="0" bestFit="1" customWidth="1"/>
    <col min="7" max="7" width="18.28125" style="0" customWidth="1"/>
  </cols>
  <sheetData>
    <row r="2" ht="12">
      <c r="B2" s="74" t="s">
        <v>139</v>
      </c>
    </row>
    <row r="3" ht="12.75" thickBot="1">
      <c r="B3" s="191"/>
    </row>
    <row r="4" spans="2:7" ht="12">
      <c r="B4" s="152" t="s">
        <v>167</v>
      </c>
      <c r="C4" s="153" t="s">
        <v>140</v>
      </c>
      <c r="D4" s="153"/>
      <c r="E4" s="153"/>
      <c r="F4" s="153"/>
      <c r="G4" s="154"/>
    </row>
    <row r="5" spans="2:7" ht="12.75">
      <c r="B5" s="177" t="s">
        <v>141</v>
      </c>
      <c r="C5" s="156"/>
      <c r="D5" s="156"/>
      <c r="E5" s="156"/>
      <c r="F5" s="156"/>
      <c r="G5" s="157"/>
    </row>
    <row r="6" spans="2:7" ht="12.75">
      <c r="B6" s="155"/>
      <c r="C6" s="156"/>
      <c r="D6" s="156"/>
      <c r="E6" s="156"/>
      <c r="F6" s="156"/>
      <c r="G6" s="157"/>
    </row>
    <row r="7" spans="2:7" ht="12.75" outlineLevel="1">
      <c r="B7" s="159" t="s">
        <v>142</v>
      </c>
      <c r="C7" s="160">
        <v>70</v>
      </c>
      <c r="D7" s="161" t="s">
        <v>143</v>
      </c>
      <c r="E7" s="162"/>
      <c r="F7" s="162"/>
      <c r="G7" s="158"/>
    </row>
    <row r="8" spans="2:7" ht="12.75" outlineLevel="1">
      <c r="B8" s="163" t="s">
        <v>144</v>
      </c>
      <c r="C8" s="160">
        <f>C7/4*1.8</f>
        <v>31.5</v>
      </c>
      <c r="D8" s="161" t="s">
        <v>145</v>
      </c>
      <c r="E8" s="162"/>
      <c r="F8" s="162"/>
      <c r="G8" s="158"/>
    </row>
    <row r="9" spans="2:7" ht="50.25" thickBot="1">
      <c r="B9" s="176" t="s">
        <v>146</v>
      </c>
      <c r="C9" s="169">
        <f>C7</f>
        <v>70</v>
      </c>
      <c r="D9" s="169" t="s">
        <v>147</v>
      </c>
      <c r="E9" s="170" t="s">
        <v>168</v>
      </c>
      <c r="F9" s="169">
        <f>C9*4500</f>
        <v>315000</v>
      </c>
      <c r="G9" s="171"/>
    </row>
    <row r="10" spans="2:7" ht="13.5" thickBot="1" thickTop="1">
      <c r="B10" s="172"/>
      <c r="C10" s="173" t="s">
        <v>148</v>
      </c>
      <c r="D10" s="174"/>
      <c r="E10" s="174" t="s">
        <v>149</v>
      </c>
      <c r="F10" s="174" t="s">
        <v>150</v>
      </c>
      <c r="G10" s="175" t="s">
        <v>151</v>
      </c>
    </row>
    <row r="11" spans="2:7" ht="12.75" thickTop="1">
      <c r="B11" s="165" t="s">
        <v>152</v>
      </c>
      <c r="C11" s="164">
        <v>3</v>
      </c>
      <c r="D11" s="164" t="s">
        <v>147</v>
      </c>
      <c r="E11" s="164">
        <v>20000</v>
      </c>
      <c r="F11" s="164">
        <f>C11*E11</f>
        <v>60000</v>
      </c>
      <c r="G11" s="166"/>
    </row>
    <row r="12" spans="2:7" ht="12">
      <c r="B12" s="165" t="s">
        <v>153</v>
      </c>
      <c r="C12" s="164">
        <v>2</v>
      </c>
      <c r="D12" s="164" t="s">
        <v>147</v>
      </c>
      <c r="E12" s="164">
        <v>24000</v>
      </c>
      <c r="F12" s="164">
        <f>C12*E12</f>
        <v>48000</v>
      </c>
      <c r="G12" s="166" t="s">
        <v>166</v>
      </c>
    </row>
    <row r="13" spans="2:7" ht="12">
      <c r="B13" s="165" t="s">
        <v>154</v>
      </c>
      <c r="C13" s="164">
        <v>2</v>
      </c>
      <c r="D13" s="164" t="s">
        <v>147</v>
      </c>
      <c r="E13" s="164">
        <v>30000</v>
      </c>
      <c r="F13" s="164">
        <f aca="true" t="shared" si="0" ref="F13:F19">C13*E13</f>
        <v>60000</v>
      </c>
      <c r="G13" s="166" t="s">
        <v>166</v>
      </c>
    </row>
    <row r="14" spans="2:7" ht="12">
      <c r="B14" s="165" t="s">
        <v>155</v>
      </c>
      <c r="C14" s="164">
        <v>4</v>
      </c>
      <c r="D14" s="164"/>
      <c r="E14" s="164">
        <v>20000</v>
      </c>
      <c r="F14" s="164">
        <f t="shared" si="0"/>
        <v>80000</v>
      </c>
      <c r="G14" s="166"/>
    </row>
    <row r="15" spans="2:7" ht="12">
      <c r="B15" s="165" t="s">
        <v>156</v>
      </c>
      <c r="C15" s="164">
        <f>C7/4*1.2</f>
        <v>21</v>
      </c>
      <c r="D15" s="164" t="s">
        <v>157</v>
      </c>
      <c r="E15" s="164">
        <v>6000</v>
      </c>
      <c r="F15" s="164">
        <f t="shared" si="0"/>
        <v>126000</v>
      </c>
      <c r="G15" s="166"/>
    </row>
    <row r="16" spans="2:7" ht="12">
      <c r="B16" s="165" t="s">
        <v>158</v>
      </c>
      <c r="C16" s="164">
        <v>1</v>
      </c>
      <c r="D16" s="164"/>
      <c r="E16" s="164">
        <v>30000</v>
      </c>
      <c r="F16" s="164">
        <f t="shared" si="0"/>
        <v>30000</v>
      </c>
      <c r="G16" s="166"/>
    </row>
    <row r="17" spans="2:7" ht="12">
      <c r="B17" s="165" t="s">
        <v>159</v>
      </c>
      <c r="C17" s="164">
        <f>C7+C13+C12+10</f>
        <v>84</v>
      </c>
      <c r="D17" s="164">
        <v>1000</v>
      </c>
      <c r="E17" s="164"/>
      <c r="F17" s="164">
        <f>C17*D17</f>
        <v>84000</v>
      </c>
      <c r="G17" s="166"/>
    </row>
    <row r="18" spans="2:7" ht="12">
      <c r="B18" s="165" t="s">
        <v>160</v>
      </c>
      <c r="C18" s="164">
        <f>12*2</f>
        <v>24</v>
      </c>
      <c r="D18" s="164" t="s">
        <v>147</v>
      </c>
      <c r="E18" s="164"/>
      <c r="F18" s="164">
        <f>C18*20*300</f>
        <v>144000</v>
      </c>
      <c r="G18" s="166"/>
    </row>
    <row r="19" spans="2:7" ht="12">
      <c r="B19" s="165" t="s">
        <v>173</v>
      </c>
      <c r="C19" s="164">
        <f>12*2+2</f>
        <v>26</v>
      </c>
      <c r="D19" s="164" t="s">
        <v>147</v>
      </c>
      <c r="E19" s="164">
        <v>8000</v>
      </c>
      <c r="F19" s="164">
        <f t="shared" si="0"/>
        <v>208000</v>
      </c>
      <c r="G19" s="166"/>
    </row>
    <row r="20" spans="2:7" ht="37.5">
      <c r="B20" s="165" t="s">
        <v>161</v>
      </c>
      <c r="C20" s="164"/>
      <c r="D20" s="164"/>
      <c r="E20" s="164"/>
      <c r="F20" s="164"/>
      <c r="G20" s="167" t="s">
        <v>169</v>
      </c>
    </row>
    <row r="21" spans="2:7" ht="24.75">
      <c r="B21" s="165" t="s">
        <v>162</v>
      </c>
      <c r="C21" s="164">
        <f>(C12+C13+3)/3</f>
        <v>2.3333333333333335</v>
      </c>
      <c r="D21" s="164">
        <v>19500</v>
      </c>
      <c r="E21" s="164"/>
      <c r="F21" s="164">
        <f>C21*D21</f>
        <v>45500</v>
      </c>
      <c r="G21" s="167" t="s">
        <v>163</v>
      </c>
    </row>
    <row r="22" spans="2:7" ht="24.75">
      <c r="B22" s="165" t="s">
        <v>164</v>
      </c>
      <c r="C22" s="164">
        <v>8</v>
      </c>
      <c r="D22" s="164">
        <v>2</v>
      </c>
      <c r="E22" s="164">
        <v>8000</v>
      </c>
      <c r="F22" s="164">
        <f>C22*D22*E22</f>
        <v>128000</v>
      </c>
      <c r="G22" s="167" t="s">
        <v>163</v>
      </c>
    </row>
    <row r="23" spans="2:7" ht="12">
      <c r="B23" s="168" t="s">
        <v>165</v>
      </c>
      <c r="C23" s="164">
        <v>2</v>
      </c>
      <c r="D23" s="164">
        <v>50000</v>
      </c>
      <c r="E23" s="164">
        <v>1</v>
      </c>
      <c r="F23" s="164">
        <f>C23*D23*E23</f>
        <v>100000</v>
      </c>
      <c r="G23" s="166"/>
    </row>
    <row r="24" spans="2:7" ht="12.75" thickBot="1">
      <c r="B24" s="168" t="s">
        <v>171</v>
      </c>
      <c r="C24" s="181">
        <v>900</v>
      </c>
      <c r="D24" s="181">
        <v>195</v>
      </c>
      <c r="E24" s="181">
        <f>C24*D24</f>
        <v>175500</v>
      </c>
      <c r="F24" s="181">
        <f>E24*2</f>
        <v>351000</v>
      </c>
      <c r="G24" s="167" t="s">
        <v>174</v>
      </c>
    </row>
    <row r="25" spans="2:7" ht="12.75" thickBot="1">
      <c r="B25" s="187"/>
      <c r="C25" s="185"/>
      <c r="D25" s="185"/>
      <c r="E25" s="185"/>
      <c r="F25" s="185"/>
      <c r="G25" s="186"/>
    </row>
    <row r="26" spans="2:7" ht="12.75" thickBot="1">
      <c r="B26" s="178" t="s">
        <v>172</v>
      </c>
      <c r="C26" s="179"/>
      <c r="D26" s="179"/>
      <c r="E26" s="179"/>
      <c r="F26" s="188">
        <f>F9</f>
        <v>315000</v>
      </c>
      <c r="G26" s="180"/>
    </row>
    <row r="27" spans="2:7" ht="12.75" thickBot="1">
      <c r="B27" s="182" t="s">
        <v>101</v>
      </c>
      <c r="C27" s="183"/>
      <c r="D27" s="183"/>
      <c r="E27" s="183"/>
      <c r="F27" s="189">
        <f>SUM(F11:F24)</f>
        <v>1464500</v>
      </c>
      <c r="G27" s="184"/>
    </row>
    <row r="28" spans="2:7" ht="12.75" thickBot="1">
      <c r="B28" s="182" t="s">
        <v>170</v>
      </c>
      <c r="C28" s="185"/>
      <c r="D28" s="185"/>
      <c r="E28" s="185"/>
      <c r="F28" s="190">
        <f>F26-F27</f>
        <v>-1149500</v>
      </c>
      <c r="G28" s="18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39"/>
  <sheetViews>
    <sheetView tabSelected="1"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7.00390625" style="1" bestFit="1" customWidth="1"/>
    <col min="2" max="2" width="55.00390625" style="0" customWidth="1"/>
    <col min="3" max="3" width="27.8515625" style="16" customWidth="1"/>
    <col min="4" max="4" width="5.28125" style="0" customWidth="1"/>
    <col min="5" max="5" width="20.8515625" style="0" customWidth="1"/>
    <col min="6" max="6" width="21.7109375" style="0" bestFit="1" customWidth="1"/>
    <col min="7" max="7" width="27.28125" style="16" bestFit="1" customWidth="1"/>
  </cols>
  <sheetData>
    <row r="1" spans="1:3" ht="19.5">
      <c r="A1" s="437" t="s">
        <v>332</v>
      </c>
      <c r="B1" s="438"/>
      <c r="C1" s="439"/>
    </row>
    <row r="2" spans="1:3" ht="19.5">
      <c r="A2" s="440"/>
      <c r="B2" s="441"/>
      <c r="C2" s="442"/>
    </row>
    <row r="3" spans="1:7" ht="20.25" thickBot="1">
      <c r="A3" s="35" t="s">
        <v>13</v>
      </c>
      <c r="B3" s="34" t="s">
        <v>0</v>
      </c>
      <c r="C3" s="118">
        <f>SUM(C4:C15)</f>
        <v>58012216</v>
      </c>
      <c r="E3" s="463" t="s">
        <v>14</v>
      </c>
      <c r="F3" s="436" t="s">
        <v>14</v>
      </c>
      <c r="G3" s="24">
        <f>'Nyitó tételek'!H16</f>
        <v>37542000</v>
      </c>
    </row>
    <row r="4" spans="1:7" ht="20.25" thickBot="1">
      <c r="A4" s="22">
        <v>2</v>
      </c>
      <c r="B4" s="27" t="s">
        <v>3</v>
      </c>
      <c r="C4" s="24">
        <f>'Állami támogatás+pályázat'!C1</f>
        <v>29533216</v>
      </c>
      <c r="D4" s="58"/>
      <c r="E4" s="463" t="s">
        <v>333</v>
      </c>
      <c r="F4" s="436"/>
      <c r="G4" s="120">
        <f>C3-C17</f>
        <v>-15231859.401096314</v>
      </c>
    </row>
    <row r="5" spans="1:7" ht="20.25" thickBot="1">
      <c r="A5" s="22">
        <v>3</v>
      </c>
      <c r="B5" s="27" t="s">
        <v>4</v>
      </c>
      <c r="C5" s="24">
        <f>'Egyéb támogatás'!C1</f>
        <v>8120000</v>
      </c>
      <c r="D5" s="58"/>
      <c r="E5" s="463" t="s">
        <v>334</v>
      </c>
      <c r="F5" s="436" t="s">
        <v>14</v>
      </c>
      <c r="G5" s="24">
        <f>SUM(G3:G4)</f>
        <v>22310140.598903686</v>
      </c>
    </row>
    <row r="6" spans="1:5" ht="19.5">
      <c r="A6" s="22">
        <v>4</v>
      </c>
      <c r="B6" s="27" t="s">
        <v>5</v>
      </c>
      <c r="C6" s="24">
        <f>'Saját forrás'!C1</f>
        <v>17674000</v>
      </c>
      <c r="D6" s="58"/>
      <c r="E6" s="1"/>
    </row>
    <row r="7" spans="1:5" ht="19.5">
      <c r="A7" s="22">
        <v>5</v>
      </c>
      <c r="B7" s="27" t="str">
        <f>'Versenyre befizetések'!B1</f>
        <v>Versenyzői befizetések versenyekre</v>
      </c>
      <c r="C7" s="24">
        <f>'Versenyre befizetések'!C1</f>
        <v>900000</v>
      </c>
      <c r="D7" s="58"/>
      <c r="E7" s="1"/>
    </row>
    <row r="8" spans="1:5" ht="19.5">
      <c r="A8" s="22">
        <v>6</v>
      </c>
      <c r="B8" s="27" t="s">
        <v>44</v>
      </c>
      <c r="C8" s="24">
        <f>'Edzőtábor bevétel'!C1</f>
        <v>1785000</v>
      </c>
      <c r="D8" s="58"/>
      <c r="E8" s="1"/>
    </row>
    <row r="9" spans="1:5" ht="19.5">
      <c r="A9" s="22">
        <v>7</v>
      </c>
      <c r="B9" s="27"/>
      <c r="C9" s="24"/>
      <c r="D9" s="58"/>
      <c r="E9" s="1"/>
    </row>
    <row r="10" spans="1:5" ht="19.5">
      <c r="A10" s="22">
        <v>8</v>
      </c>
      <c r="B10" s="27"/>
      <c r="C10" s="24"/>
      <c r="E10" s="1"/>
    </row>
    <row r="11" spans="1:6" ht="19.5">
      <c r="A11" s="22">
        <v>9</v>
      </c>
      <c r="B11" s="27"/>
      <c r="C11" s="24"/>
      <c r="E11" s="90" t="s">
        <v>90</v>
      </c>
      <c r="F11" s="121">
        <f>C3</f>
        <v>58012216</v>
      </c>
    </row>
    <row r="12" spans="1:6" ht="19.5">
      <c r="A12" s="22">
        <v>10</v>
      </c>
      <c r="B12" s="27"/>
      <c r="C12" s="24"/>
      <c r="E12" s="91" t="s">
        <v>91</v>
      </c>
      <c r="F12" s="122">
        <f>C18+C19+C20-C9</f>
        <v>23872000</v>
      </c>
    </row>
    <row r="13" spans="1:6" ht="19.5">
      <c r="A13" s="22">
        <v>11</v>
      </c>
      <c r="B13" s="27"/>
      <c r="C13" s="24"/>
      <c r="F13" s="129">
        <f>F12/F11</f>
        <v>0.41149953658036437</v>
      </c>
    </row>
    <row r="14" spans="1:3" ht="19.5">
      <c r="A14" s="22">
        <v>12</v>
      </c>
      <c r="B14" s="27"/>
      <c r="C14" s="24"/>
    </row>
    <row r="15" spans="1:3" ht="20.25" thickBot="1">
      <c r="A15" s="22">
        <v>13</v>
      </c>
      <c r="B15" s="29"/>
      <c r="C15" s="30"/>
    </row>
    <row r="16" spans="1:3" ht="20.25" thickBot="1">
      <c r="A16" s="446"/>
      <c r="B16" s="447"/>
      <c r="C16" s="448"/>
    </row>
    <row r="17" spans="1:3" ht="19.5">
      <c r="A17" s="36" t="s">
        <v>20</v>
      </c>
      <c r="B17" s="37" t="s">
        <v>1</v>
      </c>
      <c r="C17" s="119">
        <f>SUM(C18:C33)</f>
        <v>73244075.40109631</v>
      </c>
    </row>
    <row r="18" spans="1:5" ht="19.5">
      <c r="A18" s="22">
        <v>1</v>
      </c>
      <c r="B18" s="27" t="s">
        <v>6</v>
      </c>
      <c r="C18" s="136">
        <f>'Működési költségek'!C1</f>
        <v>5961000</v>
      </c>
      <c r="D18" s="58"/>
      <c r="E18" s="58"/>
    </row>
    <row r="19" spans="1:5" ht="19.5">
      <c r="A19" s="22">
        <v>2</v>
      </c>
      <c r="B19" s="27" t="s">
        <v>8</v>
      </c>
      <c r="C19" s="136">
        <f>'Munkabér és jár'!C1</f>
        <v>13173000</v>
      </c>
      <c r="D19" s="58"/>
      <c r="E19" s="58"/>
    </row>
    <row r="20" spans="1:5" ht="19.5">
      <c r="A20" s="22">
        <v>3</v>
      </c>
      <c r="B20" s="27" t="s">
        <v>9</v>
      </c>
      <c r="C20" s="136">
        <f>'Ügyvitel és iroda'!C1</f>
        <v>4738000</v>
      </c>
      <c r="D20" s="58"/>
      <c r="E20" s="58"/>
    </row>
    <row r="21" spans="1:5" ht="19.5">
      <c r="A21" s="22">
        <v>4</v>
      </c>
      <c r="B21" s="27" t="s">
        <v>10</v>
      </c>
      <c r="C21" s="24">
        <f>Tagdíjak!C1</f>
        <v>2242070</v>
      </c>
      <c r="D21" s="58"/>
      <c r="E21" s="58"/>
    </row>
    <row r="22" spans="1:5" ht="19.5">
      <c r="A22" s="22">
        <v>5</v>
      </c>
      <c r="B22" s="27" t="s">
        <v>11</v>
      </c>
      <c r="C22" s="24">
        <f>Edzőtábor!C1</f>
        <v>2635000</v>
      </c>
      <c r="D22" s="58"/>
      <c r="E22" s="58"/>
    </row>
    <row r="23" spans="1:5" ht="19.5">
      <c r="A23" s="22">
        <v>6</v>
      </c>
      <c r="B23" s="27" t="str">
        <f>'Edzők,válogatott'!B1</f>
        <v>Edzőképzés, válogatott</v>
      </c>
      <c r="C23" s="24">
        <f>'Edzők,válogatott'!C1</f>
        <v>3593000</v>
      </c>
      <c r="D23" s="58"/>
      <c r="E23" s="58"/>
    </row>
    <row r="24" spans="1:5" ht="19.5">
      <c r="A24" s="22">
        <v>7</v>
      </c>
      <c r="B24" s="27" t="str">
        <f>'Szakágak keretei'!B1</f>
        <v>Szakágak keretei </v>
      </c>
      <c r="C24" s="24">
        <f>'Szakágak keretei'!C1</f>
        <v>2680000</v>
      </c>
      <c r="D24" s="58"/>
      <c r="E24" s="58"/>
    </row>
    <row r="25" spans="1:5" ht="19.5">
      <c r="A25" s="22">
        <v>8</v>
      </c>
      <c r="B25" s="27" t="str">
        <f>'Közös keret'!B1</f>
        <v>Közös keret</v>
      </c>
      <c r="C25" s="24">
        <f>'Közös keret'!C1</f>
        <v>11290500</v>
      </c>
      <c r="D25" s="58"/>
      <c r="E25" s="58"/>
    </row>
    <row r="26" spans="1:5" ht="19.5">
      <c r="A26" s="22">
        <v>9</v>
      </c>
      <c r="B26" s="27" t="s">
        <v>7</v>
      </c>
      <c r="C26" s="24">
        <f>'Verseny rendezés ktg'!C1</f>
        <v>5488000</v>
      </c>
      <c r="D26" s="58"/>
      <c r="E26" s="58"/>
    </row>
    <row r="27" spans="1:5" ht="19.5">
      <c r="A27" s="22">
        <v>10</v>
      </c>
      <c r="B27" s="27" t="s">
        <v>12</v>
      </c>
      <c r="C27" s="24">
        <f>Fejlesztés!C1</f>
        <v>9675000</v>
      </c>
      <c r="D27" s="58"/>
      <c r="E27" s="58"/>
    </row>
    <row r="28" spans="1:5" ht="19.5">
      <c r="A28" s="22">
        <v>11</v>
      </c>
      <c r="B28" s="69" t="str">
        <f>'Versenyzés költségei'!B1</f>
        <v>Versenyzés költségei</v>
      </c>
      <c r="C28" s="24">
        <f>'Versenyzés költségei'!C1</f>
        <v>10768505.401096307</v>
      </c>
      <c r="D28" s="58"/>
      <c r="E28" s="58"/>
    </row>
    <row r="29" spans="1:5" ht="19.5">
      <c r="A29" s="22">
        <v>12</v>
      </c>
      <c r="B29" s="64" t="s">
        <v>84</v>
      </c>
      <c r="C29" s="24">
        <v>1000000</v>
      </c>
      <c r="D29" s="58"/>
      <c r="E29" s="58"/>
    </row>
    <row r="30" spans="1:5" ht="19.5">
      <c r="A30" s="22">
        <v>13</v>
      </c>
      <c r="B30" s="27"/>
      <c r="C30" s="24"/>
      <c r="D30" s="58"/>
      <c r="E30" s="58"/>
    </row>
    <row r="31" spans="1:3" ht="19.5">
      <c r="A31" s="22">
        <v>14</v>
      </c>
      <c r="B31" s="27"/>
      <c r="C31" s="24"/>
    </row>
    <row r="32" spans="1:3" ht="20.25" thickBot="1">
      <c r="A32" s="22">
        <v>15</v>
      </c>
      <c r="B32" s="29"/>
      <c r="C32" s="30"/>
    </row>
    <row r="33" spans="1:3" ht="19.5">
      <c r="A33" s="443"/>
      <c r="B33" s="444"/>
      <c r="C33" s="445"/>
    </row>
    <row r="35" ht="12">
      <c r="E35" s="92"/>
    </row>
    <row r="39" ht="12">
      <c r="F39" s="47"/>
    </row>
  </sheetData>
  <sheetProtection/>
  <protectedRanges>
    <protectedRange password="EA05" sqref="C3" name="Tartom?ny1"/>
  </protectedRanges>
  <mergeCells count="7">
    <mergeCell ref="E4:F4"/>
    <mergeCell ref="A1:C1"/>
    <mergeCell ref="A2:C2"/>
    <mergeCell ref="A33:C33"/>
    <mergeCell ref="A16:C16"/>
    <mergeCell ref="E3:F3"/>
    <mergeCell ref="E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23"/>
  <sheetViews>
    <sheetView zoomScalePageLayoutView="0" workbookViewId="0" topLeftCell="B1">
      <selection activeCell="F5" sqref="F5"/>
    </sheetView>
  </sheetViews>
  <sheetFormatPr defaultColWidth="9.140625" defaultRowHeight="12.75"/>
  <cols>
    <col min="1" max="1" width="8.421875" style="1" bestFit="1" customWidth="1"/>
    <col min="2" max="2" width="55.421875" style="0" bestFit="1" customWidth="1"/>
    <col min="3" max="3" width="22.8515625" style="16" bestFit="1" customWidth="1"/>
    <col min="4" max="4" width="22.7109375" style="0" bestFit="1" customWidth="1"/>
    <col min="5" max="5" width="12.00390625" style="0" customWidth="1"/>
    <col min="6" max="6" width="11.421875" style="0" customWidth="1"/>
    <col min="7" max="7" width="12.140625" style="0" customWidth="1"/>
    <col min="8" max="8" width="26.28125" style="0" bestFit="1" customWidth="1"/>
  </cols>
  <sheetData>
    <row r="1" spans="1:3" s="18" customFormat="1" ht="19.5" customHeight="1" thickBot="1">
      <c r="A1" s="31" t="s">
        <v>20</v>
      </c>
      <c r="B1" s="32" t="s">
        <v>25</v>
      </c>
      <c r="C1" s="33">
        <f>SUM(C3:C23)</f>
        <v>29533216</v>
      </c>
    </row>
    <row r="2" spans="1:8" s="18" customFormat="1" ht="19.5" customHeight="1">
      <c r="A2" s="219"/>
      <c r="B2" s="220"/>
      <c r="C2" s="429" t="s">
        <v>216</v>
      </c>
      <c r="D2" s="229" t="s">
        <v>217</v>
      </c>
      <c r="H2" s="18" t="s">
        <v>251</v>
      </c>
    </row>
    <row r="3" spans="1:4" s="18" customFormat="1" ht="19.5" customHeight="1">
      <c r="A3" s="19">
        <v>1</v>
      </c>
      <c r="B3" s="20" t="s">
        <v>323</v>
      </c>
      <c r="C3" s="21">
        <v>10026779</v>
      </c>
      <c r="D3" s="21">
        <v>10026779</v>
      </c>
    </row>
    <row r="4" spans="1:5" s="18" customFormat="1" ht="19.5" customHeight="1">
      <c r="A4" s="234">
        <v>2</v>
      </c>
      <c r="B4" s="230" t="s">
        <v>324</v>
      </c>
      <c r="C4" s="231">
        <v>901201</v>
      </c>
      <c r="D4" s="231">
        <v>901201</v>
      </c>
      <c r="E4" s="235"/>
    </row>
    <row r="5" spans="1:5" s="18" customFormat="1" ht="19.5" customHeight="1">
      <c r="A5" s="236">
        <v>3</v>
      </c>
      <c r="B5" s="230" t="s">
        <v>325</v>
      </c>
      <c r="C5" s="231">
        <v>0</v>
      </c>
      <c r="D5" s="232">
        <v>0</v>
      </c>
      <c r="E5" s="235"/>
    </row>
    <row r="6" spans="1:5" s="18" customFormat="1" ht="19.5" customHeight="1">
      <c r="A6" s="234">
        <v>4</v>
      </c>
      <c r="B6" s="230" t="s">
        <v>329</v>
      </c>
      <c r="C6" s="232">
        <v>1500000</v>
      </c>
      <c r="D6" s="232">
        <v>1500000</v>
      </c>
      <c r="E6" s="235"/>
    </row>
    <row r="7" spans="1:5" s="18" customFormat="1" ht="19.5" customHeight="1">
      <c r="A7" s="236">
        <v>5</v>
      </c>
      <c r="B7" s="230" t="s">
        <v>218</v>
      </c>
      <c r="C7" s="231">
        <v>0</v>
      </c>
      <c r="D7" s="232">
        <v>0</v>
      </c>
      <c r="E7" s="235" t="s">
        <v>221</v>
      </c>
    </row>
    <row r="8" spans="1:5" s="18" customFormat="1" ht="19.5" customHeight="1">
      <c r="A8" s="236">
        <v>6</v>
      </c>
      <c r="B8" s="230" t="s">
        <v>219</v>
      </c>
      <c r="C8" s="231">
        <f>D8</f>
        <v>8000000</v>
      </c>
      <c r="D8" s="232">
        <v>8000000</v>
      </c>
      <c r="E8" s="235" t="s">
        <v>220</v>
      </c>
    </row>
    <row r="9" spans="1:5" s="18" customFormat="1" ht="19.5" customHeight="1">
      <c r="A9" s="234">
        <v>7</v>
      </c>
      <c r="B9" s="230" t="s">
        <v>326</v>
      </c>
      <c r="C9" s="231"/>
      <c r="D9" s="232"/>
      <c r="E9" s="235"/>
    </row>
    <row r="10" spans="1:5" s="18" customFormat="1" ht="19.5" customHeight="1">
      <c r="A10" s="19">
        <v>8</v>
      </c>
      <c r="B10" s="25" t="s">
        <v>98</v>
      </c>
      <c r="C10" s="21">
        <f>(D10*0.8)</f>
        <v>0</v>
      </c>
      <c r="D10" s="24"/>
      <c r="E10" s="145"/>
    </row>
    <row r="11" spans="1:5" s="18" customFormat="1" ht="19.5" customHeight="1">
      <c r="A11" s="22">
        <v>9</v>
      </c>
      <c r="B11" s="230" t="s">
        <v>328</v>
      </c>
      <c r="C11" s="232">
        <v>7705236</v>
      </c>
      <c r="D11" s="232">
        <v>7705236</v>
      </c>
      <c r="E11" s="145"/>
    </row>
    <row r="12" spans="1:7" s="18" customFormat="1" ht="19.5" customHeight="1">
      <c r="A12" s="19">
        <v>10</v>
      </c>
      <c r="B12" s="230" t="s">
        <v>327</v>
      </c>
      <c r="C12" s="231">
        <v>0</v>
      </c>
      <c r="D12" s="232">
        <v>0</v>
      </c>
      <c r="E12" s="449" t="s">
        <v>330</v>
      </c>
      <c r="F12" s="450"/>
      <c r="G12" s="450"/>
    </row>
    <row r="13" spans="1:6" s="18" customFormat="1" ht="19.5" customHeight="1">
      <c r="A13" s="19">
        <v>11</v>
      </c>
      <c r="B13" s="233" t="s">
        <v>246</v>
      </c>
      <c r="C13" s="232">
        <v>1200000</v>
      </c>
      <c r="D13" s="232">
        <v>1200000</v>
      </c>
      <c r="E13" s="145"/>
      <c r="F13" s="132"/>
    </row>
    <row r="14" spans="1:4" s="18" customFormat="1" ht="19.5" customHeight="1">
      <c r="A14" s="22">
        <v>12</v>
      </c>
      <c r="B14" s="233" t="s">
        <v>123</v>
      </c>
      <c r="C14" s="232"/>
      <c r="D14" s="232"/>
    </row>
    <row r="15" spans="1:4" s="18" customFormat="1" ht="19.5" customHeight="1">
      <c r="A15" s="19">
        <v>13</v>
      </c>
      <c r="B15" s="233" t="s">
        <v>110</v>
      </c>
      <c r="C15" s="232"/>
      <c r="D15" s="232"/>
    </row>
    <row r="16" spans="1:4" s="18" customFormat="1" ht="19.5" customHeight="1">
      <c r="A16" s="22">
        <v>14</v>
      </c>
      <c r="B16" s="23" t="s">
        <v>124</v>
      </c>
      <c r="C16" s="24"/>
      <c r="D16" s="24"/>
    </row>
    <row r="17" spans="1:4" s="18" customFormat="1" ht="19.5" customHeight="1">
      <c r="A17" s="19">
        <v>15</v>
      </c>
      <c r="B17" s="23" t="s">
        <v>117</v>
      </c>
      <c r="C17" s="24">
        <v>200000</v>
      </c>
      <c r="D17" s="24"/>
    </row>
    <row r="18" spans="1:4" s="18" customFormat="1" ht="19.5" customHeight="1">
      <c r="A18" s="19">
        <v>16</v>
      </c>
      <c r="B18" s="26" t="s">
        <v>177</v>
      </c>
      <c r="C18" s="24"/>
      <c r="D18" s="24"/>
    </row>
    <row r="19" spans="1:5" s="18" customFormat="1" ht="19.5" customHeight="1">
      <c r="A19" s="22"/>
      <c r="B19" s="27"/>
      <c r="C19" s="24"/>
      <c r="D19" s="24"/>
      <c r="E19" s="226"/>
    </row>
    <row r="20" spans="1:4" s="18" customFormat="1" ht="19.5" customHeight="1">
      <c r="A20" s="22"/>
      <c r="B20" s="27"/>
      <c r="C20" s="24"/>
      <c r="D20" s="24"/>
    </row>
    <row r="21" spans="1:4" s="18" customFormat="1" ht="19.5" customHeight="1">
      <c r="A21" s="22"/>
      <c r="B21" s="27"/>
      <c r="C21" s="24"/>
      <c r="D21" s="24"/>
    </row>
    <row r="22" spans="1:4" s="18" customFormat="1" ht="19.5" customHeight="1">
      <c r="A22" s="22"/>
      <c r="B22" s="27"/>
      <c r="C22" s="24"/>
      <c r="D22" s="24"/>
    </row>
    <row r="23" spans="1:4" s="18" customFormat="1" ht="19.5" customHeight="1" thickBot="1">
      <c r="A23" s="28"/>
      <c r="B23" s="29"/>
      <c r="C23" s="30"/>
      <c r="D23" s="24"/>
    </row>
  </sheetData>
  <sheetProtection/>
  <protectedRanges>
    <protectedRange sqref="C13:D23 D11:D12 D3:D9 C3:C12" name="Tartom?ny2"/>
  </protectedRanges>
  <mergeCells count="1">
    <mergeCell ref="E12:G1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36"/>
  <sheetViews>
    <sheetView zoomScale="120" zoomScaleNormal="120" zoomScalePageLayoutView="0" workbookViewId="0" topLeftCell="B19">
      <selection activeCell="C24" sqref="C24"/>
    </sheetView>
  </sheetViews>
  <sheetFormatPr defaultColWidth="9.140625" defaultRowHeight="12.75"/>
  <cols>
    <col min="2" max="2" width="49.140625" style="0" customWidth="1"/>
    <col min="3" max="3" width="22.8515625" style="46" bestFit="1" customWidth="1"/>
    <col min="4" max="4" width="63.140625" style="0" customWidth="1"/>
  </cols>
  <sheetData>
    <row r="1" spans="1:3" ht="20.25" thickBot="1">
      <c r="A1" s="31" t="s">
        <v>20</v>
      </c>
      <c r="B1" s="59" t="s">
        <v>5</v>
      </c>
      <c r="C1" s="60">
        <f>SUM(C2:C27)</f>
        <v>17674000</v>
      </c>
    </row>
    <row r="2" spans="1:4" ht="19.5">
      <c r="A2" s="79">
        <v>1</v>
      </c>
      <c r="B2" s="80" t="s">
        <v>47</v>
      </c>
      <c r="C2" s="81">
        <f>15000*160</f>
        <v>2400000</v>
      </c>
      <c r="D2" s="74" t="s">
        <v>248</v>
      </c>
    </row>
    <row r="3" spans="1:4" ht="19.5">
      <c r="A3" s="66">
        <v>2</v>
      </c>
      <c r="B3" s="82" t="s">
        <v>48</v>
      </c>
      <c r="C3" s="83">
        <f>1100*3050+500*500</f>
        <v>3605000</v>
      </c>
      <c r="D3" s="74" t="s">
        <v>249</v>
      </c>
    </row>
    <row r="4" spans="1:4" ht="19.5">
      <c r="A4" s="66">
        <v>3</v>
      </c>
      <c r="B4" s="82" t="s">
        <v>222</v>
      </c>
      <c r="C4" s="83">
        <f>1600*1100</f>
        <v>1760000</v>
      </c>
      <c r="D4" s="74" t="s">
        <v>245</v>
      </c>
    </row>
    <row r="5" spans="1:4" ht="19.5">
      <c r="A5" s="66">
        <v>4</v>
      </c>
      <c r="B5" s="82" t="s">
        <v>70</v>
      </c>
      <c r="C5" s="83">
        <f>1600*1200</f>
        <v>1920000</v>
      </c>
      <c r="D5" s="74" t="s">
        <v>245</v>
      </c>
    </row>
    <row r="6" spans="1:4" ht="19.5">
      <c r="A6" s="66"/>
      <c r="B6" s="82" t="s">
        <v>234</v>
      </c>
      <c r="C6" s="83"/>
      <c r="D6" s="74"/>
    </row>
    <row r="7" spans="1:4" ht="19.5">
      <c r="A7" s="66"/>
      <c r="B7" s="82" t="s">
        <v>128</v>
      </c>
      <c r="C7" s="83">
        <f>130*10000</f>
        <v>1300000</v>
      </c>
      <c r="D7" s="75" t="s">
        <v>226</v>
      </c>
    </row>
    <row r="8" spans="1:3" ht="19.5">
      <c r="A8" s="66">
        <v>7</v>
      </c>
      <c r="B8" s="125" t="s">
        <v>100</v>
      </c>
      <c r="C8" s="84"/>
    </row>
    <row r="9" spans="1:4" ht="19.5">
      <c r="A9" s="66">
        <v>8</v>
      </c>
      <c r="B9" s="85" t="s">
        <v>49</v>
      </c>
      <c r="C9" s="83">
        <f>4*130*6000*0.2</f>
        <v>624000</v>
      </c>
      <c r="D9" s="74"/>
    </row>
    <row r="10" spans="1:4" ht="19.5">
      <c r="A10" s="66">
        <v>9</v>
      </c>
      <c r="B10" s="85" t="s">
        <v>50</v>
      </c>
      <c r="C10" s="83">
        <f>3*100*5000*0.2</f>
        <v>300000</v>
      </c>
      <c r="D10" s="55"/>
    </row>
    <row r="11" spans="1:4" ht="19.5">
      <c r="A11" s="66">
        <v>10</v>
      </c>
      <c r="B11" s="85" t="s">
        <v>51</v>
      </c>
      <c r="C11" s="83">
        <f>3*80*5000*0.2</f>
        <v>240000</v>
      </c>
      <c r="D11" s="55"/>
    </row>
    <row r="12" spans="1:4" ht="19.5">
      <c r="A12" s="66">
        <v>11</v>
      </c>
      <c r="B12" s="85" t="s">
        <v>253</v>
      </c>
      <c r="C12" s="83">
        <f>4*150*4000*0.1</f>
        <v>240000</v>
      </c>
      <c r="D12" s="55"/>
    </row>
    <row r="13" spans="1:3" ht="19.5">
      <c r="A13" s="66">
        <v>12</v>
      </c>
      <c r="B13" s="126" t="s">
        <v>52</v>
      </c>
      <c r="C13" s="83"/>
    </row>
    <row r="14" spans="1:4" ht="19.5">
      <c r="A14" s="66">
        <v>13</v>
      </c>
      <c r="B14" s="85" t="s">
        <v>49</v>
      </c>
      <c r="C14" s="83">
        <f>160*6000*0.2*2</f>
        <v>384000</v>
      </c>
      <c r="D14" s="74" t="s">
        <v>227</v>
      </c>
    </row>
    <row r="15" spans="1:4" ht="19.5">
      <c r="A15" s="66">
        <v>14</v>
      </c>
      <c r="B15" s="85" t="s">
        <v>50</v>
      </c>
      <c r="C15" s="83">
        <f>200*6000*0.2*3</f>
        <v>720000</v>
      </c>
      <c r="D15" s="74" t="s">
        <v>228</v>
      </c>
    </row>
    <row r="16" spans="1:4" ht="19.5">
      <c r="A16" s="66">
        <v>15</v>
      </c>
      <c r="B16" s="85" t="s">
        <v>51</v>
      </c>
      <c r="C16" s="83">
        <f>80*6000*0.2</f>
        <v>96000</v>
      </c>
      <c r="D16" s="55"/>
    </row>
    <row r="17" spans="1:4" ht="19.5">
      <c r="A17" s="66">
        <v>16</v>
      </c>
      <c r="B17" s="85" t="s">
        <v>71</v>
      </c>
      <c r="C17" s="83">
        <f>250*6000*0.2</f>
        <v>300000</v>
      </c>
      <c r="D17" s="55"/>
    </row>
    <row r="18" spans="1:4" ht="19.5">
      <c r="A18" s="66">
        <v>17</v>
      </c>
      <c r="B18" s="82" t="s">
        <v>53</v>
      </c>
      <c r="C18" s="83"/>
      <c r="D18" s="74"/>
    </row>
    <row r="19" spans="1:3" ht="19.5">
      <c r="A19" s="66"/>
      <c r="B19" s="221" t="s">
        <v>81</v>
      </c>
      <c r="C19" s="83">
        <f>300*1000</f>
        <v>300000</v>
      </c>
    </row>
    <row r="20" spans="1:4" ht="19.5">
      <c r="A20" s="66">
        <v>19</v>
      </c>
      <c r="B20" s="82" t="s">
        <v>97</v>
      </c>
      <c r="C20" s="83"/>
      <c r="D20" s="75"/>
    </row>
    <row r="21" spans="1:4" ht="19.5">
      <c r="A21" s="66">
        <v>20</v>
      </c>
      <c r="B21" s="82" t="s">
        <v>113</v>
      </c>
      <c r="C21" s="83">
        <f>25*120*310</f>
        <v>930000</v>
      </c>
      <c r="D21" s="75"/>
    </row>
    <row r="22" spans="1:4" ht="19.5">
      <c r="A22" s="66"/>
      <c r="B22" s="82" t="s">
        <v>130</v>
      </c>
      <c r="C22" s="83"/>
      <c r="D22" s="75"/>
    </row>
    <row r="23" spans="1:4" ht="19.5">
      <c r="A23" s="66">
        <v>22</v>
      </c>
      <c r="B23" s="82" t="s">
        <v>229</v>
      </c>
      <c r="C23" s="83">
        <f>90000+30000*48+35000*25</f>
        <v>2405000</v>
      </c>
      <c r="D23" s="58"/>
    </row>
    <row r="24" spans="1:4" ht="19.5">
      <c r="A24" s="66">
        <v>24</v>
      </c>
      <c r="B24" s="82" t="s">
        <v>230</v>
      </c>
      <c r="C24" s="83">
        <f>5000*30</f>
        <v>150000</v>
      </c>
      <c r="D24" s="72"/>
    </row>
    <row r="25" spans="1:4" ht="19.5">
      <c r="A25" s="66">
        <v>25</v>
      </c>
      <c r="B25" s="82"/>
      <c r="C25" s="83"/>
      <c r="D25" s="65"/>
    </row>
    <row r="26" spans="1:7" ht="19.5">
      <c r="A26" s="66">
        <v>26</v>
      </c>
      <c r="B26" s="82"/>
      <c r="C26" s="83"/>
      <c r="D26" s="58"/>
      <c r="E26" s="45"/>
      <c r="F26" s="44"/>
      <c r="G26" s="43"/>
    </row>
    <row r="27" spans="1:7" ht="20.25" thickBot="1">
      <c r="A27" s="66">
        <v>27</v>
      </c>
      <c r="B27" s="88"/>
      <c r="C27" s="89"/>
      <c r="D27" s="58"/>
      <c r="E27" s="45"/>
      <c r="F27" s="44"/>
      <c r="G27" s="43"/>
    </row>
    <row r="28" spans="1:3" ht="19.5">
      <c r="A28" s="87"/>
      <c r="B28" s="56"/>
      <c r="C28" s="86"/>
    </row>
    <row r="29" spans="1:3" ht="12">
      <c r="A29" s="56"/>
      <c r="B29" s="56"/>
      <c r="C29" s="86"/>
    </row>
    <row r="30" spans="1:3" ht="12">
      <c r="A30" s="56"/>
      <c r="B30" s="56"/>
      <c r="C30" s="86"/>
    </row>
    <row r="31" spans="1:3" ht="12">
      <c r="A31" s="56"/>
      <c r="B31" s="56"/>
      <c r="C31" s="86"/>
    </row>
    <row r="32" spans="1:3" ht="12">
      <c r="A32" s="56"/>
      <c r="B32" s="56"/>
      <c r="C32" s="86"/>
    </row>
    <row r="33" spans="1:3" ht="12">
      <c r="A33" s="56"/>
      <c r="B33" s="56"/>
      <c r="C33" s="86"/>
    </row>
    <row r="34" spans="1:3" ht="12">
      <c r="A34" s="56"/>
      <c r="B34" s="56"/>
      <c r="C34" s="86"/>
    </row>
    <row r="35" spans="1:3" ht="12">
      <c r="A35" s="56"/>
      <c r="B35" s="56"/>
      <c r="C35" s="86"/>
    </row>
    <row r="36" spans="1:3" ht="12">
      <c r="A36" s="56"/>
      <c r="B36" s="56"/>
      <c r="C36" s="86"/>
    </row>
  </sheetData>
  <sheetProtection/>
  <protectedRanges>
    <protectedRange sqref="C9:C25 C2:C7" name="Tartom?ny2"/>
  </protectedRange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14"/>
  <sheetViews>
    <sheetView zoomScale="98" zoomScaleNormal="98" zoomScalePageLayoutView="0" workbookViewId="0" topLeftCell="A1">
      <selection activeCell="G21" sqref="G21"/>
    </sheetView>
  </sheetViews>
  <sheetFormatPr defaultColWidth="9.140625" defaultRowHeight="12.75"/>
  <cols>
    <col min="1" max="1" width="8.421875" style="0" bestFit="1" customWidth="1"/>
    <col min="2" max="2" width="41.00390625" style="0" bestFit="1" customWidth="1"/>
    <col min="3" max="3" width="20.57421875" style="46" customWidth="1"/>
    <col min="5" max="5" width="13.421875" style="0" customWidth="1"/>
    <col min="6" max="6" width="14.00390625" style="0" customWidth="1"/>
    <col min="7" max="7" width="14.28125" style="0" customWidth="1"/>
    <col min="8" max="8" width="24.00390625" style="0" bestFit="1" customWidth="1"/>
  </cols>
  <sheetData>
    <row r="1" spans="1:3" s="18" customFormat="1" ht="19.5" customHeight="1" thickBot="1">
      <c r="A1" s="31" t="s">
        <v>20</v>
      </c>
      <c r="B1" s="32" t="s">
        <v>27</v>
      </c>
      <c r="C1" s="51">
        <f>SUM(C2:C14)</f>
        <v>8120000</v>
      </c>
    </row>
    <row r="2" spans="1:4" s="18" customFormat="1" ht="19.5" customHeight="1">
      <c r="A2" s="19">
        <v>1</v>
      </c>
      <c r="B2" s="23" t="s">
        <v>45</v>
      </c>
      <c r="C2" s="53">
        <v>120000</v>
      </c>
      <c r="D2" s="73"/>
    </row>
    <row r="3" spans="1:4" s="18" customFormat="1" ht="19.5" customHeight="1">
      <c r="A3" s="19">
        <v>2</v>
      </c>
      <c r="B3" s="25" t="s">
        <v>46</v>
      </c>
      <c r="C3" s="53">
        <v>500000</v>
      </c>
      <c r="D3" s="73"/>
    </row>
    <row r="4" spans="1:4" s="18" customFormat="1" ht="19.5" customHeight="1">
      <c r="A4" s="22">
        <v>3</v>
      </c>
      <c r="B4" s="25" t="s">
        <v>87</v>
      </c>
      <c r="C4" s="53"/>
      <c r="D4" s="74"/>
    </row>
    <row r="5" spans="1:4" s="18" customFormat="1" ht="19.5" customHeight="1">
      <c r="A5" s="19">
        <v>4</v>
      </c>
      <c r="B5" s="25" t="s">
        <v>181</v>
      </c>
      <c r="C5" s="53">
        <v>7000000</v>
      </c>
      <c r="D5" s="74"/>
    </row>
    <row r="6" spans="1:4" s="18" customFormat="1" ht="19.5" customHeight="1">
      <c r="A6" s="19">
        <v>5</v>
      </c>
      <c r="B6" s="25" t="s">
        <v>93</v>
      </c>
      <c r="C6" s="53">
        <v>0</v>
      </c>
      <c r="D6" s="74"/>
    </row>
    <row r="7" spans="1:4" s="18" customFormat="1" ht="19.5" customHeight="1">
      <c r="A7" s="22">
        <v>6</v>
      </c>
      <c r="B7" s="25" t="s">
        <v>129</v>
      </c>
      <c r="C7" s="53">
        <v>500000</v>
      </c>
      <c r="D7" s="227"/>
    </row>
    <row r="8" spans="1:4" s="18" customFormat="1" ht="19.5" customHeight="1">
      <c r="A8" s="22"/>
      <c r="B8" s="25"/>
      <c r="C8" s="53"/>
      <c r="D8" s="74"/>
    </row>
    <row r="9" spans="1:5" s="18" customFormat="1" ht="19.5" customHeight="1">
      <c r="A9" s="19"/>
      <c r="B9" s="25"/>
      <c r="C9" s="53"/>
      <c r="D9" s="74"/>
      <c r="E9" s="74"/>
    </row>
    <row r="10" spans="1:5" s="18" customFormat="1" ht="19.5" customHeight="1">
      <c r="A10" s="22"/>
      <c r="B10" s="27"/>
      <c r="C10" s="53"/>
      <c r="D10" s="74"/>
      <c r="E10" s="74"/>
    </row>
    <row r="11" spans="1:3" s="18" customFormat="1" ht="19.5" customHeight="1">
      <c r="A11" s="22"/>
      <c r="B11" s="27"/>
      <c r="C11" s="53"/>
    </row>
    <row r="12" spans="1:3" s="18" customFormat="1" ht="19.5" customHeight="1">
      <c r="A12" s="22"/>
      <c r="B12" s="27"/>
      <c r="C12" s="53"/>
    </row>
    <row r="13" spans="1:3" s="18" customFormat="1" ht="19.5" customHeight="1">
      <c r="A13" s="22"/>
      <c r="B13" s="27"/>
      <c r="C13" s="53"/>
    </row>
    <row r="14" spans="1:3" s="18" customFormat="1" ht="19.5" customHeight="1">
      <c r="A14" s="22"/>
      <c r="B14" s="27"/>
      <c r="C14" s="53"/>
    </row>
  </sheetData>
  <sheetProtection/>
  <protectedRanges>
    <protectedRange sqref="C8:C14 C2:C3" name="Tartom?ny2"/>
    <protectedRange sqref="C4:C7" name="Tartom?ny2_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D20"/>
  <sheetViews>
    <sheetView zoomScalePageLayoutView="0" workbookViewId="0" topLeftCell="A1">
      <selection activeCell="A4" sqref="A4:IV4"/>
    </sheetView>
  </sheetViews>
  <sheetFormatPr defaultColWidth="9.140625" defaultRowHeight="12.75"/>
  <cols>
    <col min="2" max="2" width="47.140625" style="0" bestFit="1" customWidth="1"/>
    <col min="3" max="3" width="22.8515625" style="0" bestFit="1" customWidth="1"/>
    <col min="4" max="4" width="27.57421875" style="0" customWidth="1"/>
  </cols>
  <sheetData>
    <row r="1" spans="1:3" ht="19.5">
      <c r="A1" s="113" t="s">
        <v>20</v>
      </c>
      <c r="B1" s="59" t="s">
        <v>29</v>
      </c>
      <c r="C1" s="114">
        <f>SUM(C2:C20)</f>
        <v>900000</v>
      </c>
    </row>
    <row r="2" spans="1:4" ht="19.5">
      <c r="A2" s="22">
        <v>1</v>
      </c>
      <c r="B2" s="115"/>
      <c r="C2" s="24">
        <v>0</v>
      </c>
      <c r="D2" s="58" t="s">
        <v>112</v>
      </c>
    </row>
    <row r="3" spans="1:4" ht="19.5">
      <c r="A3" s="22">
        <v>2</v>
      </c>
      <c r="B3" s="115" t="s">
        <v>113</v>
      </c>
      <c r="C3" s="24">
        <f>4*15000*15</f>
        <v>900000</v>
      </c>
      <c r="D3" s="75" t="s">
        <v>114</v>
      </c>
    </row>
    <row r="4" spans="1:4" ht="19.5">
      <c r="A4" s="22"/>
      <c r="B4" s="115"/>
      <c r="C4" s="24"/>
      <c r="D4" s="58"/>
    </row>
    <row r="5" spans="1:4" ht="19.5">
      <c r="A5" s="22">
        <v>4</v>
      </c>
      <c r="B5" s="116"/>
      <c r="C5" s="24"/>
      <c r="D5" s="58"/>
    </row>
    <row r="6" spans="1:3" ht="19.5">
      <c r="A6" s="22">
        <v>5</v>
      </c>
      <c r="B6" s="116"/>
      <c r="C6" s="24"/>
    </row>
    <row r="7" spans="1:3" ht="19.5">
      <c r="A7" s="22">
        <v>6</v>
      </c>
      <c r="B7" s="116"/>
      <c r="C7" s="24"/>
    </row>
    <row r="8" spans="1:3" ht="19.5">
      <c r="A8" s="22">
        <v>7</v>
      </c>
      <c r="B8" s="116"/>
      <c r="C8" s="24"/>
    </row>
    <row r="9" spans="1:3" ht="19.5">
      <c r="A9" s="22">
        <v>8</v>
      </c>
      <c r="B9" s="116"/>
      <c r="C9" s="24"/>
    </row>
    <row r="10" spans="1:3" ht="19.5">
      <c r="A10" s="22">
        <v>9</v>
      </c>
      <c r="B10" s="116"/>
      <c r="C10" s="24"/>
    </row>
    <row r="11" spans="1:3" ht="19.5">
      <c r="A11" s="22">
        <v>10</v>
      </c>
      <c r="B11" s="116"/>
      <c r="C11" s="24"/>
    </row>
    <row r="12" spans="1:3" ht="19.5">
      <c r="A12" s="22">
        <v>11</v>
      </c>
      <c r="B12" s="116"/>
      <c r="C12" s="24"/>
    </row>
    <row r="13" spans="1:3" ht="19.5">
      <c r="A13" s="22">
        <v>12</v>
      </c>
      <c r="B13" s="116"/>
      <c r="C13" s="24"/>
    </row>
    <row r="14" spans="1:3" ht="19.5">
      <c r="A14" s="22">
        <v>13</v>
      </c>
      <c r="B14" s="116"/>
      <c r="C14" s="24"/>
    </row>
    <row r="15" spans="1:3" ht="19.5">
      <c r="A15" s="22">
        <v>14</v>
      </c>
      <c r="B15" s="116"/>
      <c r="C15" s="24"/>
    </row>
    <row r="16" spans="1:3" ht="19.5">
      <c r="A16" s="22">
        <v>15</v>
      </c>
      <c r="B16" s="117"/>
      <c r="C16" s="24"/>
    </row>
    <row r="17" spans="1:3" ht="20.25">
      <c r="A17" s="22">
        <v>16</v>
      </c>
      <c r="B17" s="40"/>
      <c r="C17" s="24"/>
    </row>
    <row r="18" spans="1:3" ht="20.25">
      <c r="A18" s="22">
        <v>17</v>
      </c>
      <c r="B18" s="40"/>
      <c r="C18" s="24"/>
    </row>
    <row r="19" spans="1:3" ht="20.25">
      <c r="A19" s="22">
        <v>18</v>
      </c>
      <c r="B19" s="40"/>
      <c r="C19" s="24"/>
    </row>
    <row r="20" spans="1:3" ht="21" thickBot="1">
      <c r="A20" s="28">
        <v>19</v>
      </c>
      <c r="B20" s="42"/>
      <c r="C20" s="30"/>
    </row>
  </sheetData>
  <sheetProtection/>
  <protectedRanges>
    <protectedRange sqref="C2:C20" name="Tartom?ny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4246E6"/>
  </sheetPr>
  <dimension ref="A1:D22"/>
  <sheetViews>
    <sheetView zoomScale="130" zoomScaleNormal="130" zoomScalePageLayoutView="0" workbookViewId="0" topLeftCell="A1">
      <selection activeCell="C5" sqref="C5"/>
    </sheetView>
  </sheetViews>
  <sheetFormatPr defaultColWidth="9.140625" defaultRowHeight="12.75"/>
  <cols>
    <col min="2" max="2" width="47.140625" style="0" bestFit="1" customWidth="1"/>
    <col min="3" max="3" width="21.00390625" style="0" bestFit="1" customWidth="1"/>
  </cols>
  <sheetData>
    <row r="1" spans="1:3" ht="15.75" thickBot="1">
      <c r="A1" s="206" t="s">
        <v>20</v>
      </c>
      <c r="B1" s="207" t="s">
        <v>43</v>
      </c>
      <c r="C1" s="208">
        <f>SUM(C2:C20)</f>
        <v>1785000</v>
      </c>
    </row>
    <row r="2" spans="1:4" ht="15">
      <c r="A2" s="203">
        <v>1</v>
      </c>
      <c r="B2" s="204" t="s">
        <v>49</v>
      </c>
      <c r="C2" s="209"/>
      <c r="D2" s="57"/>
    </row>
    <row r="3" spans="1:3" ht="15">
      <c r="A3" s="210">
        <v>2</v>
      </c>
      <c r="B3" s="211" t="s">
        <v>51</v>
      </c>
      <c r="C3" s="209"/>
    </row>
    <row r="4" spans="1:3" ht="15">
      <c r="A4" s="210">
        <v>3</v>
      </c>
      <c r="B4" s="211" t="s">
        <v>50</v>
      </c>
      <c r="C4" s="209">
        <f>35*51000</f>
        <v>1785000</v>
      </c>
    </row>
    <row r="5" spans="1:3" ht="15">
      <c r="A5" s="210">
        <v>4</v>
      </c>
      <c r="B5" s="212"/>
      <c r="C5" s="213"/>
    </row>
    <row r="6" spans="1:3" ht="15">
      <c r="A6" s="210">
        <v>5</v>
      </c>
      <c r="B6" s="212"/>
      <c r="C6" s="213"/>
    </row>
    <row r="7" spans="1:3" ht="15">
      <c r="A7" s="210">
        <v>6</v>
      </c>
      <c r="B7" s="212"/>
      <c r="C7" s="213"/>
    </row>
    <row r="8" spans="1:3" ht="15">
      <c r="A8" s="210">
        <v>7</v>
      </c>
      <c r="B8" s="212"/>
      <c r="C8" s="213"/>
    </row>
    <row r="9" spans="1:3" ht="15">
      <c r="A9" s="210">
        <v>8</v>
      </c>
      <c r="B9" s="214"/>
      <c r="C9" s="213"/>
    </row>
    <row r="10" spans="1:3" ht="15">
      <c r="A10" s="210">
        <v>9</v>
      </c>
      <c r="B10" s="212"/>
      <c r="C10" s="213"/>
    </row>
    <row r="11" spans="1:3" ht="15">
      <c r="A11" s="210">
        <v>10</v>
      </c>
      <c r="B11" s="212"/>
      <c r="C11" s="213"/>
    </row>
    <row r="12" spans="1:3" ht="15">
      <c r="A12" s="210">
        <v>11</v>
      </c>
      <c r="B12" s="212"/>
      <c r="C12" s="213"/>
    </row>
    <row r="13" spans="1:3" ht="15">
      <c r="A13" s="210">
        <v>12</v>
      </c>
      <c r="B13" s="212"/>
      <c r="C13" s="213"/>
    </row>
    <row r="14" spans="1:3" ht="15">
      <c r="A14" s="210">
        <v>13</v>
      </c>
      <c r="B14" s="212"/>
      <c r="C14" s="213"/>
    </row>
    <row r="15" spans="1:3" ht="15">
      <c r="A15" s="210">
        <v>14</v>
      </c>
      <c r="B15" s="212"/>
      <c r="C15" s="213"/>
    </row>
    <row r="16" spans="1:3" ht="15">
      <c r="A16" s="210">
        <v>15</v>
      </c>
      <c r="B16" s="212"/>
      <c r="C16" s="213"/>
    </row>
    <row r="17" spans="1:3" ht="15">
      <c r="A17" s="210">
        <v>16</v>
      </c>
      <c r="B17" s="212"/>
      <c r="C17" s="213"/>
    </row>
    <row r="18" spans="1:3" ht="15">
      <c r="A18" s="210">
        <v>17</v>
      </c>
      <c r="B18" s="212"/>
      <c r="C18" s="213"/>
    </row>
    <row r="19" spans="1:3" ht="15">
      <c r="A19" s="210">
        <v>18</v>
      </c>
      <c r="B19" s="212"/>
      <c r="C19" s="213"/>
    </row>
    <row r="20" spans="1:3" ht="15.75" thickBot="1">
      <c r="A20" s="215">
        <v>19</v>
      </c>
      <c r="B20" s="216"/>
      <c r="C20" s="217"/>
    </row>
    <row r="21" spans="1:3" ht="15">
      <c r="A21" s="218"/>
      <c r="B21" s="218"/>
      <c r="C21" s="218"/>
    </row>
    <row r="22" spans="1:3" ht="15">
      <c r="A22" s="218"/>
      <c r="B22" s="218"/>
      <c r="C22" s="218"/>
    </row>
  </sheetData>
  <sheetProtection/>
  <protectedRanges>
    <protectedRange sqref="C2:C20" name="Tartom?ny2"/>
  </protectedRange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30"/>
  <sheetViews>
    <sheetView zoomScale="80" zoomScaleNormal="80" zoomScalePageLayoutView="0" workbookViewId="0" topLeftCell="A16">
      <selection activeCell="B2" sqref="B2"/>
    </sheetView>
  </sheetViews>
  <sheetFormatPr defaultColWidth="9.140625" defaultRowHeight="12.75"/>
  <cols>
    <col min="2" max="2" width="56.28125" style="0" customWidth="1"/>
    <col min="3" max="3" width="20.28125" style="46" customWidth="1"/>
    <col min="4" max="4" width="12.8515625" style="0" customWidth="1"/>
    <col min="5" max="5" width="13.28125" style="0" customWidth="1"/>
    <col min="6" max="6" width="15.57421875" style="0" customWidth="1"/>
    <col min="7" max="7" width="11.57421875" style="0" customWidth="1"/>
    <col min="8" max="8" width="13.140625" style="46" customWidth="1"/>
  </cols>
  <sheetData>
    <row r="1" spans="1:8" ht="20.25" thickBot="1">
      <c r="A1" s="31" t="s">
        <v>20</v>
      </c>
      <c r="B1" s="32" t="s">
        <v>322</v>
      </c>
      <c r="C1" s="51">
        <f>SUM(C3:C15)</f>
        <v>2680000</v>
      </c>
      <c r="F1" s="74"/>
      <c r="G1" s="55"/>
      <c r="H1" s="70"/>
    </row>
    <row r="2" spans="1:12" s="58" customFormat="1" ht="20.25">
      <c r="A2" s="19"/>
      <c r="B2" s="68" t="s">
        <v>73</v>
      </c>
      <c r="C2" s="52"/>
      <c r="G2" s="65"/>
      <c r="H2" s="70"/>
      <c r="J2" s="75"/>
      <c r="L2" s="75"/>
    </row>
    <row r="3" spans="1:7" ht="20.25">
      <c r="A3" s="19">
        <v>1</v>
      </c>
      <c r="B3" s="77" t="s">
        <v>49</v>
      </c>
      <c r="C3" s="52">
        <f>'Saját forrás'!C9</f>
        <v>624000</v>
      </c>
      <c r="F3" s="142"/>
      <c r="G3" s="237"/>
    </row>
    <row r="4" spans="1:12" ht="20.25">
      <c r="A4" s="22">
        <v>2</v>
      </c>
      <c r="B4" s="78" t="s">
        <v>50</v>
      </c>
      <c r="C4" s="52">
        <f>'Saját forrás'!C10</f>
        <v>300000</v>
      </c>
      <c r="F4" s="143"/>
      <c r="G4" s="237"/>
      <c r="L4" s="110"/>
    </row>
    <row r="5" spans="1:7" ht="20.25">
      <c r="A5" s="22">
        <v>3</v>
      </c>
      <c r="B5" s="78" t="s">
        <v>51</v>
      </c>
      <c r="C5" s="52">
        <f>'Saját forrás'!C11</f>
        <v>240000</v>
      </c>
      <c r="F5" s="142"/>
      <c r="G5" s="237"/>
    </row>
    <row r="6" spans="1:7" ht="20.25">
      <c r="A6" s="22">
        <v>4</v>
      </c>
      <c r="B6" s="78" t="s">
        <v>71</v>
      </c>
      <c r="C6" s="52">
        <f>'Saját forrás'!C12</f>
        <v>240000</v>
      </c>
      <c r="F6" s="142"/>
      <c r="G6" s="237"/>
    </row>
    <row r="7" spans="1:7" ht="20.25">
      <c r="A7" s="22">
        <v>5</v>
      </c>
      <c r="B7" s="76" t="s">
        <v>72</v>
      </c>
      <c r="C7" s="52">
        <v>40000</v>
      </c>
      <c r="F7" s="142"/>
      <c r="G7" s="237"/>
    </row>
    <row r="8" spans="1:12" ht="21" thickBot="1">
      <c r="A8" s="22">
        <v>6</v>
      </c>
      <c r="B8" s="76" t="s">
        <v>61</v>
      </c>
      <c r="C8" s="52">
        <v>40000</v>
      </c>
      <c r="F8" s="144"/>
      <c r="G8" s="238"/>
      <c r="H8" s="71"/>
      <c r="I8" s="62"/>
      <c r="J8" s="62"/>
      <c r="K8" s="62"/>
      <c r="L8" s="62"/>
    </row>
    <row r="9" spans="1:7" ht="21" thickTop="1">
      <c r="A9" s="22"/>
      <c r="B9" s="67" t="s">
        <v>57</v>
      </c>
      <c r="C9" s="52"/>
      <c r="F9" s="110"/>
      <c r="G9" s="237"/>
    </row>
    <row r="10" spans="1:7" ht="20.25">
      <c r="A10" s="22">
        <v>7</v>
      </c>
      <c r="B10" s="76" t="s">
        <v>49</v>
      </c>
      <c r="C10" s="52">
        <f>110*1300*2</f>
        <v>286000</v>
      </c>
      <c r="D10" s="74" t="s">
        <v>225</v>
      </c>
      <c r="G10" s="63"/>
    </row>
    <row r="11" spans="1:4" ht="20.25">
      <c r="A11" s="22">
        <v>8</v>
      </c>
      <c r="B11" s="76" t="s">
        <v>58</v>
      </c>
      <c r="C11" s="52">
        <f>120*1300*3</f>
        <v>468000</v>
      </c>
      <c r="D11" s="74" t="s">
        <v>224</v>
      </c>
    </row>
    <row r="12" spans="1:3" ht="20.25">
      <c r="A12" s="22">
        <v>9</v>
      </c>
      <c r="B12" s="78" t="s">
        <v>51</v>
      </c>
      <c r="C12" s="52">
        <f>70*1300</f>
        <v>91000</v>
      </c>
    </row>
    <row r="13" spans="1:8" ht="20.25">
      <c r="A13" s="22">
        <v>10</v>
      </c>
      <c r="B13" s="78" t="s">
        <v>71</v>
      </c>
      <c r="C13" s="52">
        <f>120*1300*2</f>
        <v>312000</v>
      </c>
      <c r="D13" s="74" t="s">
        <v>252</v>
      </c>
      <c r="F13" s="55"/>
      <c r="H13" s="195"/>
    </row>
    <row r="14" spans="1:6" ht="20.25">
      <c r="A14" s="22"/>
      <c r="B14" s="78" t="s">
        <v>72</v>
      </c>
      <c r="C14" s="52">
        <f>1300*15</f>
        <v>19500</v>
      </c>
      <c r="F14" s="55"/>
    </row>
    <row r="15" spans="1:3" ht="20.25">
      <c r="A15" s="22">
        <v>11</v>
      </c>
      <c r="B15" s="76" t="s">
        <v>61</v>
      </c>
      <c r="C15" s="52">
        <f>1300*15</f>
        <v>19500</v>
      </c>
    </row>
    <row r="16" spans="2:8" ht="20.25">
      <c r="B16" s="133" t="s">
        <v>119</v>
      </c>
      <c r="C16" s="134"/>
      <c r="G16" s="44"/>
      <c r="H16" s="43"/>
    </row>
    <row r="17" spans="2:8" ht="20.25">
      <c r="B17" s="135" t="s">
        <v>49</v>
      </c>
      <c r="C17" s="140">
        <f>C10+C3</f>
        <v>910000</v>
      </c>
      <c r="D17" s="137"/>
      <c r="E17" s="137"/>
      <c r="G17" s="44"/>
      <c r="H17" s="43"/>
    </row>
    <row r="18" spans="1:8" ht="20.25">
      <c r="A18" s="87"/>
      <c r="B18" s="135" t="s">
        <v>58</v>
      </c>
      <c r="C18" s="141">
        <f>C11+C4</f>
        <v>768000</v>
      </c>
      <c r="D18" s="137"/>
      <c r="E18" s="137"/>
      <c r="G18" s="44"/>
      <c r="H18" s="43"/>
    </row>
    <row r="19" spans="2:8" s="93" customFormat="1" ht="20.25">
      <c r="B19" s="135" t="s">
        <v>60</v>
      </c>
      <c r="C19" s="141">
        <f>C13+C5</f>
        <v>552000</v>
      </c>
      <c r="D19" s="137"/>
      <c r="E19" s="138"/>
      <c r="H19" s="107"/>
    </row>
    <row r="20" spans="2:8" s="93" customFormat="1" ht="20.25">
      <c r="B20" s="135" t="s">
        <v>59</v>
      </c>
      <c r="C20" s="141">
        <f>C12+C6</f>
        <v>331000</v>
      </c>
      <c r="D20" s="137"/>
      <c r="E20" s="139"/>
      <c r="F20" s="108"/>
      <c r="G20" s="108"/>
      <c r="H20" s="107"/>
    </row>
    <row r="21" spans="2:8" s="93" customFormat="1" ht="20.25">
      <c r="B21" s="135" t="s">
        <v>61</v>
      </c>
      <c r="C21" s="141">
        <f>C15+C8</f>
        <v>59500</v>
      </c>
      <c r="D21" s="108"/>
      <c r="E21" s="108"/>
      <c r="F21" s="108"/>
      <c r="G21" s="108"/>
      <c r="H21" s="107"/>
    </row>
    <row r="22" spans="2:8" s="93" customFormat="1" ht="20.25">
      <c r="B22" s="135" t="s">
        <v>72</v>
      </c>
      <c r="C22" s="141">
        <f>C15+C7</f>
        <v>59500</v>
      </c>
      <c r="D22" s="108"/>
      <c r="E22" s="108"/>
      <c r="F22" s="108"/>
      <c r="G22" s="108"/>
      <c r="H22" s="107"/>
    </row>
    <row r="23" spans="2:8" s="93" customFormat="1" ht="17.25">
      <c r="B23" s="108"/>
      <c r="C23" s="108"/>
      <c r="D23" s="108"/>
      <c r="E23" s="108"/>
      <c r="F23" s="108"/>
      <c r="G23" s="108"/>
      <c r="H23" s="107"/>
    </row>
    <row r="24" spans="2:8" s="93" customFormat="1" ht="17.25">
      <c r="B24" s="108"/>
      <c r="C24" s="108"/>
      <c r="D24" s="108"/>
      <c r="E24" s="108"/>
      <c r="F24" s="108"/>
      <c r="G24" s="108"/>
      <c r="H24" s="107"/>
    </row>
    <row r="25" spans="2:8" s="93" customFormat="1" ht="17.25">
      <c r="B25" s="108"/>
      <c r="C25" s="108"/>
      <c r="D25" s="108"/>
      <c r="E25" s="108"/>
      <c r="F25" s="108"/>
      <c r="G25" s="108"/>
      <c r="H25" s="107"/>
    </row>
    <row r="26" spans="2:8" s="93" customFormat="1" ht="17.25">
      <c r="B26" s="108"/>
      <c r="C26" s="108"/>
      <c r="D26" s="108"/>
      <c r="E26" s="108"/>
      <c r="F26" s="108"/>
      <c r="G26" s="108"/>
      <c r="H26" s="107"/>
    </row>
    <row r="27" spans="2:8" s="93" customFormat="1" ht="17.25">
      <c r="B27" s="109"/>
      <c r="C27" s="109"/>
      <c r="D27" s="109"/>
      <c r="E27" s="109"/>
      <c r="F27" s="109"/>
      <c r="G27" s="108"/>
      <c r="H27" s="107"/>
    </row>
    <row r="28" spans="2:8" s="93" customFormat="1" ht="17.25">
      <c r="B28" s="108"/>
      <c r="C28" s="108"/>
      <c r="D28" s="108"/>
      <c r="E28" s="108"/>
      <c r="F28" s="108"/>
      <c r="G28" s="108"/>
      <c r="H28" s="107"/>
    </row>
    <row r="29" spans="2:8" s="93" customFormat="1" ht="17.25">
      <c r="B29" s="108"/>
      <c r="C29" s="108"/>
      <c r="D29" s="108"/>
      <c r="E29" s="108"/>
      <c r="F29" s="108"/>
      <c r="G29" s="108"/>
      <c r="H29" s="107"/>
    </row>
    <row r="30" spans="3:8" s="93" customFormat="1" ht="17.25">
      <c r="C30" s="107"/>
      <c r="H30" s="107"/>
    </row>
  </sheetData>
  <sheetProtection/>
  <protectedRanges>
    <protectedRange sqref="C3:C9" name="Tartom?ny2"/>
  </protectedRange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zoomScale="110" zoomScaleNormal="110" zoomScalePageLayoutView="0" workbookViewId="0" topLeftCell="A1">
      <selection activeCell="H9" sqref="H9"/>
    </sheetView>
  </sheetViews>
  <sheetFormatPr defaultColWidth="9.140625" defaultRowHeight="12.75"/>
  <cols>
    <col min="1" max="1" width="8.421875" style="0" bestFit="1" customWidth="1"/>
    <col min="2" max="2" width="53.8515625" style="0" bestFit="1" customWidth="1"/>
    <col min="3" max="3" width="21.00390625" style="46" bestFit="1" customWidth="1"/>
    <col min="7" max="7" width="12.7109375" style="0" customWidth="1"/>
  </cols>
  <sheetData>
    <row r="1" spans="1:3" ht="20.25" thickBot="1">
      <c r="A1" s="31" t="s">
        <v>20</v>
      </c>
      <c r="B1" s="32" t="s">
        <v>6</v>
      </c>
      <c r="C1" s="51">
        <f>SUM(C2:C15)</f>
        <v>5961000</v>
      </c>
    </row>
    <row r="2" spans="1:4" ht="20.25">
      <c r="A2" s="22"/>
      <c r="B2" s="68"/>
      <c r="C2" s="61"/>
      <c r="D2" s="46"/>
    </row>
    <row r="3" spans="1:6" ht="20.25">
      <c r="A3" s="22">
        <v>1</v>
      </c>
      <c r="B3" s="20" t="s">
        <v>235</v>
      </c>
      <c r="C3" s="61">
        <f>D3*75</f>
        <v>2160000</v>
      </c>
      <c r="D3" s="46">
        <f>6*400*12</f>
        <v>28800</v>
      </c>
      <c r="E3" t="s">
        <v>105</v>
      </c>
      <c r="F3" t="s">
        <v>106</v>
      </c>
    </row>
    <row r="4" spans="1:6" ht="20.25">
      <c r="A4" s="22">
        <v>2</v>
      </c>
      <c r="B4" s="20" t="s">
        <v>55</v>
      </c>
      <c r="C4" s="61">
        <f>D4*75</f>
        <v>1080000</v>
      </c>
      <c r="D4" s="46">
        <f>4*300*12</f>
        <v>14400</v>
      </c>
      <c r="E4" t="s">
        <v>105</v>
      </c>
      <c r="F4" t="s">
        <v>106</v>
      </c>
    </row>
    <row r="5" spans="1:4" ht="20.25">
      <c r="A5" s="22">
        <v>3</v>
      </c>
      <c r="B5" s="20" t="s">
        <v>254</v>
      </c>
      <c r="C5" s="61">
        <f>'Saját forrás'!C21*0.7+'Saját forrás'!C15</f>
        <v>1371000</v>
      </c>
      <c r="D5" t="s">
        <v>104</v>
      </c>
    </row>
    <row r="6" spans="1:4" ht="20.25">
      <c r="A6" s="22">
        <v>4</v>
      </c>
      <c r="B6" s="20" t="s">
        <v>56</v>
      </c>
      <c r="C6" s="61">
        <v>350000</v>
      </c>
      <c r="D6" s="55"/>
    </row>
    <row r="7" spans="1:3" ht="20.25">
      <c r="A7" s="22">
        <v>5</v>
      </c>
      <c r="B7" s="20" t="s">
        <v>76</v>
      </c>
      <c r="C7" s="61">
        <v>150000</v>
      </c>
    </row>
    <row r="8" spans="1:3" ht="20.25">
      <c r="A8" s="22">
        <v>6</v>
      </c>
      <c r="B8" s="20" t="s">
        <v>36</v>
      </c>
      <c r="C8" s="61">
        <v>120000</v>
      </c>
    </row>
    <row r="9" spans="1:3" ht="20.25">
      <c r="A9" s="22">
        <v>7</v>
      </c>
      <c r="B9" s="20" t="s">
        <v>88</v>
      </c>
      <c r="C9" s="61">
        <v>100000</v>
      </c>
    </row>
    <row r="10" spans="1:8" ht="20.25">
      <c r="A10" s="22">
        <v>8</v>
      </c>
      <c r="B10" s="20" t="s">
        <v>115</v>
      </c>
      <c r="C10" s="61">
        <f>180000+200000+250000</f>
        <v>630000</v>
      </c>
      <c r="D10" s="74" t="s">
        <v>178</v>
      </c>
      <c r="H10" s="74"/>
    </row>
    <row r="11" spans="1:3" ht="20.25">
      <c r="A11" s="22">
        <v>9</v>
      </c>
      <c r="B11" s="68"/>
      <c r="C11" s="61">
        <v>0</v>
      </c>
    </row>
    <row r="12" spans="1:3" ht="20.25">
      <c r="A12" s="22">
        <v>14</v>
      </c>
      <c r="B12" s="20"/>
      <c r="C12" s="61">
        <v>0</v>
      </c>
    </row>
    <row r="13" spans="1:3" ht="20.25">
      <c r="A13" s="22">
        <v>15</v>
      </c>
      <c r="B13" s="20"/>
      <c r="C13" s="61">
        <v>0</v>
      </c>
    </row>
    <row r="14" spans="1:3" ht="20.25">
      <c r="A14" s="22">
        <v>16</v>
      </c>
      <c r="B14" s="20"/>
      <c r="C14" s="61">
        <v>0</v>
      </c>
    </row>
    <row r="15" spans="1:3" ht="20.25">
      <c r="A15" s="22">
        <v>17</v>
      </c>
      <c r="B15" s="20"/>
      <c r="C15" s="61">
        <v>0</v>
      </c>
    </row>
  </sheetData>
  <sheetProtection/>
  <protectedRanges>
    <protectedRange sqref="C2:C10" name="Tartom?ny2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Kósy Nándor</dc:creator>
  <cp:keywords/>
  <dc:description/>
  <cp:lastModifiedBy>Vánky Sabastian</cp:lastModifiedBy>
  <cp:lastPrinted>2010-04-07T18:12:07Z</cp:lastPrinted>
  <dcterms:created xsi:type="dcterms:W3CDTF">2010-04-07T17:58:12Z</dcterms:created>
  <dcterms:modified xsi:type="dcterms:W3CDTF">2017-04-05T11:57:15Z</dcterms:modified>
  <cp:category/>
  <cp:version/>
  <cp:contentType/>
  <cp:contentStatus/>
</cp:coreProperties>
</file>